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GARANT projekt disk\GP DISK\Brigádníci\Kopecký Petr\2023\SAKO ČSPH + Mycí linka\04_Odevzdání\DPS\edit\V_Soupis s výkazem výměr\"/>
    </mc:Choice>
  </mc:AlternateContent>
  <xr:revisionPtr revIDLastSave="0" documentId="13_ncr:1_{F2C4135C-837E-4914-9803-FCB8FD3B7056}" xr6:coauthVersionLast="47" xr6:coauthVersionMax="47" xr10:uidLastSave="{00000000-0000-0000-0000-000000000000}"/>
  <bookViews>
    <workbookView xWindow="28680" yWindow="-45" windowWidth="29040" windowHeight="15720" activeTab="2" xr2:uid="{00000000-000D-0000-FFFF-FFFF00000000}"/>
  </bookViews>
  <sheets>
    <sheet name="Krycí list rozpočtu" sheetId="3" r:id="rId1"/>
    <sheet name="Stavební rozpočet - součet" sheetId="2" r:id="rId2"/>
    <sheet name="Stavební rozpočet" sheetId="1" r:id="rId3"/>
    <sheet name="VORN" sheetId="4" state="hidden" r:id="rId4"/>
  </sheets>
  <definedNames>
    <definedName name="vorn_sum">VORN!$I$45</definedName>
  </definedNames>
  <calcPr calcId="181029"/>
</workbook>
</file>

<file path=xl/calcChain.xml><?xml version="1.0" encoding="utf-8"?>
<calcChain xmlns="http://schemas.openxmlformats.org/spreadsheetml/2006/main">
  <c r="F44" i="4" l="1"/>
  <c r="I44" i="4" s="1"/>
  <c r="F43" i="4"/>
  <c r="I43" i="4" s="1"/>
  <c r="F42" i="4"/>
  <c r="I42" i="4" s="1"/>
  <c r="F41" i="4"/>
  <c r="I41" i="4" s="1"/>
  <c r="F40" i="4"/>
  <c r="I40" i="4" s="1"/>
  <c r="F39" i="4"/>
  <c r="I39" i="4" s="1"/>
  <c r="F36" i="4"/>
  <c r="I36" i="4" s="1"/>
  <c r="F35" i="4"/>
  <c r="I35" i="4" s="1"/>
  <c r="I26" i="4"/>
  <c r="I19" i="3" s="1"/>
  <c r="I25" i="4"/>
  <c r="I18" i="3" s="1"/>
  <c r="I24" i="4"/>
  <c r="I23" i="4"/>
  <c r="I22" i="4"/>
  <c r="I15" i="3" s="1"/>
  <c r="I21" i="4"/>
  <c r="I14" i="3" s="1"/>
  <c r="I22" i="3" s="1"/>
  <c r="I17" i="4"/>
  <c r="I16" i="4"/>
  <c r="F15" i="3" s="1"/>
  <c r="I15" i="4"/>
  <c r="I18" i="4" s="1"/>
  <c r="I10" i="4"/>
  <c r="F10" i="4"/>
  <c r="C10" i="4"/>
  <c r="F8" i="4"/>
  <c r="C8" i="4"/>
  <c r="F6" i="4"/>
  <c r="C6" i="4"/>
  <c r="F4" i="4"/>
  <c r="C4" i="4"/>
  <c r="F2" i="4"/>
  <c r="C2" i="4"/>
  <c r="I17" i="3"/>
  <c r="I16" i="3"/>
  <c r="F16" i="3"/>
  <c r="I10" i="3"/>
  <c r="F10" i="3"/>
  <c r="C10" i="3"/>
  <c r="F8" i="3"/>
  <c r="C8" i="3"/>
  <c r="F6" i="3"/>
  <c r="C6" i="3"/>
  <c r="F4" i="3"/>
  <c r="C4" i="3"/>
  <c r="F2" i="3"/>
  <c r="C2" i="3"/>
  <c r="I51" i="2"/>
  <c r="I50" i="2"/>
  <c r="I34" i="2"/>
  <c r="I32" i="2"/>
  <c r="I20" i="2"/>
  <c r="I11" i="2"/>
  <c r="G8" i="2"/>
  <c r="C8" i="2"/>
  <c r="G6" i="2"/>
  <c r="C6" i="2"/>
  <c r="G4" i="2"/>
  <c r="C4" i="2"/>
  <c r="G2" i="2"/>
  <c r="C2" i="2"/>
  <c r="BW396" i="1"/>
  <c r="BO396" i="1"/>
  <c r="BJ396" i="1"/>
  <c r="BD396" i="1"/>
  <c r="AP396" i="1"/>
  <c r="BI396" i="1" s="1"/>
  <c r="AO396" i="1"/>
  <c r="AW396" i="1" s="1"/>
  <c r="AK396" i="1"/>
  <c r="AJ396" i="1"/>
  <c r="AH396" i="1"/>
  <c r="AG396" i="1"/>
  <c r="AF396" i="1"/>
  <c r="AE396" i="1"/>
  <c r="AD396" i="1"/>
  <c r="AC396" i="1"/>
  <c r="AB396" i="1"/>
  <c r="Z396" i="1"/>
  <c r="O396" i="1"/>
  <c r="BF396" i="1" s="1"/>
  <c r="L396" i="1"/>
  <c r="M396" i="1" s="1"/>
  <c r="K396" i="1"/>
  <c r="BW395" i="1"/>
  <c r="BO395" i="1"/>
  <c r="BJ395" i="1"/>
  <c r="BF395" i="1"/>
  <c r="BD395" i="1"/>
  <c r="AP395" i="1"/>
  <c r="BI395" i="1" s="1"/>
  <c r="AO395" i="1"/>
  <c r="BH395" i="1" s="1"/>
  <c r="AK395" i="1"/>
  <c r="AJ395" i="1"/>
  <c r="AH395" i="1"/>
  <c r="AG395" i="1"/>
  <c r="AF395" i="1"/>
  <c r="AE395" i="1"/>
  <c r="AD395" i="1"/>
  <c r="AC395" i="1"/>
  <c r="AB395" i="1"/>
  <c r="Z395" i="1"/>
  <c r="O395" i="1"/>
  <c r="L395" i="1"/>
  <c r="J395" i="1"/>
  <c r="BW394" i="1"/>
  <c r="BO394" i="1"/>
  <c r="BJ394" i="1"/>
  <c r="BF394" i="1"/>
  <c r="BD394" i="1"/>
  <c r="AP394" i="1"/>
  <c r="BI394" i="1" s="1"/>
  <c r="AO394" i="1"/>
  <c r="AW394" i="1" s="1"/>
  <c r="AK394" i="1"/>
  <c r="AJ394" i="1"/>
  <c r="AH394" i="1"/>
  <c r="AG394" i="1"/>
  <c r="AF394" i="1"/>
  <c r="AE394" i="1"/>
  <c r="AD394" i="1"/>
  <c r="AC394" i="1"/>
  <c r="AB394" i="1"/>
  <c r="Z394" i="1"/>
  <c r="O394" i="1"/>
  <c r="L394" i="1"/>
  <c r="AL394" i="1" s="1"/>
  <c r="BW393" i="1"/>
  <c r="BO393" i="1"/>
  <c r="BJ393" i="1"/>
  <c r="BD393" i="1"/>
  <c r="AP393" i="1"/>
  <c r="BI393" i="1" s="1"/>
  <c r="AO393" i="1"/>
  <c r="AK393" i="1"/>
  <c r="AJ393" i="1"/>
  <c r="AH393" i="1"/>
  <c r="AG393" i="1"/>
  <c r="AF393" i="1"/>
  <c r="AE393" i="1"/>
  <c r="AD393" i="1"/>
  <c r="AC393" i="1"/>
  <c r="AB393" i="1"/>
  <c r="Z393" i="1"/>
  <c r="O393" i="1"/>
  <c r="BF393" i="1" s="1"/>
  <c r="L393" i="1"/>
  <c r="AL393" i="1" s="1"/>
  <c r="BW392" i="1"/>
  <c r="BO392" i="1"/>
  <c r="BJ392" i="1"/>
  <c r="BD392" i="1"/>
  <c r="AP392" i="1"/>
  <c r="AX392" i="1" s="1"/>
  <c r="AO392" i="1"/>
  <c r="BH392" i="1" s="1"/>
  <c r="AK392" i="1"/>
  <c r="AJ392" i="1"/>
  <c r="AH392" i="1"/>
  <c r="AG392" i="1"/>
  <c r="AF392" i="1"/>
  <c r="AE392" i="1"/>
  <c r="AD392" i="1"/>
  <c r="AC392" i="1"/>
  <c r="AB392" i="1"/>
  <c r="Z392" i="1"/>
  <c r="O392" i="1"/>
  <c r="BF392" i="1" s="1"/>
  <c r="L392" i="1"/>
  <c r="AL392" i="1" s="1"/>
  <c r="BW391" i="1"/>
  <c r="BO391" i="1"/>
  <c r="BJ391" i="1"/>
  <c r="BD391" i="1"/>
  <c r="AW391" i="1"/>
  <c r="AP391" i="1"/>
  <c r="AX391" i="1" s="1"/>
  <c r="AO391" i="1"/>
  <c r="BH391" i="1" s="1"/>
  <c r="AK391" i="1"/>
  <c r="AJ391" i="1"/>
  <c r="AH391" i="1"/>
  <c r="AG391" i="1"/>
  <c r="AF391" i="1"/>
  <c r="AE391" i="1"/>
  <c r="AD391" i="1"/>
  <c r="AC391" i="1"/>
  <c r="AB391" i="1"/>
  <c r="Z391" i="1"/>
  <c r="O391" i="1"/>
  <c r="BF391" i="1" s="1"/>
  <c r="L391" i="1"/>
  <c r="AL391" i="1" s="1"/>
  <c r="J391" i="1"/>
  <c r="BW390" i="1"/>
  <c r="BO390" i="1"/>
  <c r="BJ390" i="1"/>
  <c r="BD390" i="1"/>
  <c r="AP390" i="1"/>
  <c r="BI390" i="1" s="1"/>
  <c r="AO390" i="1"/>
  <c r="BH390" i="1" s="1"/>
  <c r="AK390" i="1"/>
  <c r="AJ390" i="1"/>
  <c r="AH390" i="1"/>
  <c r="AG390" i="1"/>
  <c r="AF390" i="1"/>
  <c r="AE390" i="1"/>
  <c r="AD390" i="1"/>
  <c r="AC390" i="1"/>
  <c r="AB390" i="1"/>
  <c r="Z390" i="1"/>
  <c r="O390" i="1"/>
  <c r="BF390" i="1" s="1"/>
  <c r="L390" i="1"/>
  <c r="AL390" i="1" s="1"/>
  <c r="BW389" i="1"/>
  <c r="M389" i="1" s="1"/>
  <c r="BO389" i="1"/>
  <c r="BJ389" i="1"/>
  <c r="BD389" i="1"/>
  <c r="AP389" i="1"/>
  <c r="AX389" i="1" s="1"/>
  <c r="AO389" i="1"/>
  <c r="AW389" i="1" s="1"/>
  <c r="AK389" i="1"/>
  <c r="AJ389" i="1"/>
  <c r="AH389" i="1"/>
  <c r="AG389" i="1"/>
  <c r="AF389" i="1"/>
  <c r="AE389" i="1"/>
  <c r="AD389" i="1"/>
  <c r="AC389" i="1"/>
  <c r="AB389" i="1"/>
  <c r="Z389" i="1"/>
  <c r="O389" i="1"/>
  <c r="BF389" i="1" s="1"/>
  <c r="L389" i="1"/>
  <c r="AL389" i="1" s="1"/>
  <c r="J389" i="1"/>
  <c r="BW388" i="1"/>
  <c r="BO388" i="1"/>
  <c r="BJ388" i="1"/>
  <c r="BD388" i="1"/>
  <c r="AP388" i="1"/>
  <c r="AO388" i="1"/>
  <c r="AK388" i="1"/>
  <c r="AJ388" i="1"/>
  <c r="AH388" i="1"/>
  <c r="AG388" i="1"/>
  <c r="AF388" i="1"/>
  <c r="AE388" i="1"/>
  <c r="AD388" i="1"/>
  <c r="AC388" i="1"/>
  <c r="AB388" i="1"/>
  <c r="Z388" i="1"/>
  <c r="O388" i="1"/>
  <c r="BF388" i="1" s="1"/>
  <c r="L388" i="1"/>
  <c r="BW387" i="1"/>
  <c r="BO387" i="1"/>
  <c r="BJ387" i="1"/>
  <c r="BF387" i="1"/>
  <c r="BD387" i="1"/>
  <c r="AW387" i="1"/>
  <c r="AP387" i="1"/>
  <c r="BI387" i="1" s="1"/>
  <c r="AO387" i="1"/>
  <c r="BH387" i="1" s="1"/>
  <c r="AK387" i="1"/>
  <c r="AJ387" i="1"/>
  <c r="AH387" i="1"/>
  <c r="AG387" i="1"/>
  <c r="AF387" i="1"/>
  <c r="AE387" i="1"/>
  <c r="AD387" i="1"/>
  <c r="AC387" i="1"/>
  <c r="AB387" i="1"/>
  <c r="Z387" i="1"/>
  <c r="O387" i="1"/>
  <c r="L387" i="1"/>
  <c r="K387" i="1"/>
  <c r="J387" i="1"/>
  <c r="BW386" i="1"/>
  <c r="BO386" i="1"/>
  <c r="BJ386" i="1"/>
  <c r="BD386" i="1"/>
  <c r="AP386" i="1"/>
  <c r="BI386" i="1" s="1"/>
  <c r="AO386" i="1"/>
  <c r="AW386" i="1" s="1"/>
  <c r="AK386" i="1"/>
  <c r="AJ386" i="1"/>
  <c r="AH386" i="1"/>
  <c r="AG386" i="1"/>
  <c r="AF386" i="1"/>
  <c r="AE386" i="1"/>
  <c r="AD386" i="1"/>
  <c r="AC386" i="1"/>
  <c r="AB386" i="1"/>
  <c r="Z386" i="1"/>
  <c r="O386" i="1"/>
  <c r="BF386" i="1" s="1"/>
  <c r="L386" i="1"/>
  <c r="AL386" i="1" s="1"/>
  <c r="BW385" i="1"/>
  <c r="BO385" i="1"/>
  <c r="BJ385" i="1"/>
  <c r="BD385" i="1"/>
  <c r="AX385" i="1"/>
  <c r="AP385" i="1"/>
  <c r="BI385" i="1" s="1"/>
  <c r="AO385" i="1"/>
  <c r="BH385" i="1" s="1"/>
  <c r="AK385" i="1"/>
  <c r="AJ385" i="1"/>
  <c r="AH385" i="1"/>
  <c r="AG385" i="1"/>
  <c r="AF385" i="1"/>
  <c r="AE385" i="1"/>
  <c r="AD385" i="1"/>
  <c r="AC385" i="1"/>
  <c r="AB385" i="1"/>
  <c r="Z385" i="1"/>
  <c r="O385" i="1"/>
  <c r="L385" i="1"/>
  <c r="AL385" i="1" s="1"/>
  <c r="K385" i="1"/>
  <c r="BW384" i="1"/>
  <c r="BO384" i="1"/>
  <c r="BJ384" i="1"/>
  <c r="BD384" i="1"/>
  <c r="AP384" i="1"/>
  <c r="AX384" i="1" s="1"/>
  <c r="AO384" i="1"/>
  <c r="BH384" i="1" s="1"/>
  <c r="AK384" i="1"/>
  <c r="AJ384" i="1"/>
  <c r="AH384" i="1"/>
  <c r="AG384" i="1"/>
  <c r="AF384" i="1"/>
  <c r="AE384" i="1"/>
  <c r="AD384" i="1"/>
  <c r="AC384" i="1"/>
  <c r="AB384" i="1"/>
  <c r="Z384" i="1"/>
  <c r="O384" i="1"/>
  <c r="BF384" i="1" s="1"/>
  <c r="L384" i="1"/>
  <c r="AL384" i="1" s="1"/>
  <c r="BW378" i="1"/>
  <c r="BJ378" i="1"/>
  <c r="Z378" i="1" s="1"/>
  <c r="BF378" i="1"/>
  <c r="BD378" i="1"/>
  <c r="AP378" i="1"/>
  <c r="BI378" i="1" s="1"/>
  <c r="AO378" i="1"/>
  <c r="AL378" i="1"/>
  <c r="AK378" i="1"/>
  <c r="AJ378" i="1"/>
  <c r="AH378" i="1"/>
  <c r="AG378" i="1"/>
  <c r="AF378" i="1"/>
  <c r="AE378" i="1"/>
  <c r="AD378" i="1"/>
  <c r="AC378" i="1"/>
  <c r="AB378" i="1"/>
  <c r="O378" i="1"/>
  <c r="L378" i="1"/>
  <c r="K378" i="1"/>
  <c r="BW376" i="1"/>
  <c r="BJ376" i="1"/>
  <c r="Z376" i="1" s="1"/>
  <c r="BD376" i="1"/>
  <c r="AP376" i="1"/>
  <c r="BI376" i="1" s="1"/>
  <c r="AO376" i="1"/>
  <c r="BH376" i="1" s="1"/>
  <c r="AK376" i="1"/>
  <c r="AJ376" i="1"/>
  <c r="AH376" i="1"/>
  <c r="AG376" i="1"/>
  <c r="AF376" i="1"/>
  <c r="AE376" i="1"/>
  <c r="AD376" i="1"/>
  <c r="AC376" i="1"/>
  <c r="AB376" i="1"/>
  <c r="O376" i="1"/>
  <c r="BF376" i="1" s="1"/>
  <c r="L376" i="1"/>
  <c r="AL376" i="1" s="1"/>
  <c r="BW374" i="1"/>
  <c r="BJ374" i="1"/>
  <c r="Z374" i="1" s="1"/>
  <c r="BD374" i="1"/>
  <c r="AP374" i="1"/>
  <c r="BI374" i="1" s="1"/>
  <c r="AO374" i="1"/>
  <c r="BH374" i="1" s="1"/>
  <c r="AK374" i="1"/>
  <c r="AJ374" i="1"/>
  <c r="AH374" i="1"/>
  <c r="AG374" i="1"/>
  <c r="AF374" i="1"/>
  <c r="AE374" i="1"/>
  <c r="AD374" i="1"/>
  <c r="AC374" i="1"/>
  <c r="AB374" i="1"/>
  <c r="O374" i="1"/>
  <c r="BF374" i="1" s="1"/>
  <c r="L374" i="1"/>
  <c r="BW372" i="1"/>
  <c r="BJ372" i="1"/>
  <c r="Z372" i="1" s="1"/>
  <c r="BF372" i="1"/>
  <c r="BD372" i="1"/>
  <c r="AW372" i="1"/>
  <c r="AP372" i="1"/>
  <c r="AO372" i="1"/>
  <c r="BH372" i="1" s="1"/>
  <c r="AK372" i="1"/>
  <c r="AJ372" i="1"/>
  <c r="AH372" i="1"/>
  <c r="AG372" i="1"/>
  <c r="AF372" i="1"/>
  <c r="AE372" i="1"/>
  <c r="AD372" i="1"/>
  <c r="AC372" i="1"/>
  <c r="AB372" i="1"/>
  <c r="O372" i="1"/>
  <c r="L372" i="1"/>
  <c r="AL372" i="1" s="1"/>
  <c r="BW370" i="1"/>
  <c r="BJ370" i="1"/>
  <c r="Z370" i="1" s="1"/>
  <c r="BF370" i="1"/>
  <c r="BD370" i="1"/>
  <c r="AP370" i="1"/>
  <c r="BI370" i="1" s="1"/>
  <c r="AO370" i="1"/>
  <c r="BH370" i="1" s="1"/>
  <c r="AK370" i="1"/>
  <c r="AJ370" i="1"/>
  <c r="AH370" i="1"/>
  <c r="AG370" i="1"/>
  <c r="AF370" i="1"/>
  <c r="AE370" i="1"/>
  <c r="AD370" i="1"/>
  <c r="AC370" i="1"/>
  <c r="AB370" i="1"/>
  <c r="O370" i="1"/>
  <c r="L370" i="1"/>
  <c r="BW368" i="1"/>
  <c r="BJ368" i="1"/>
  <c r="Z368" i="1" s="1"/>
  <c r="BD368" i="1"/>
  <c r="AP368" i="1"/>
  <c r="BI368" i="1" s="1"/>
  <c r="AO368" i="1"/>
  <c r="BH368" i="1" s="1"/>
  <c r="AK368" i="1"/>
  <c r="AJ368" i="1"/>
  <c r="AH368" i="1"/>
  <c r="AG368" i="1"/>
  <c r="AF368" i="1"/>
  <c r="AE368" i="1"/>
  <c r="AD368" i="1"/>
  <c r="AC368" i="1"/>
  <c r="AB368" i="1"/>
  <c r="O368" i="1"/>
  <c r="BF368" i="1" s="1"/>
  <c r="L368" i="1"/>
  <c r="AL368" i="1" s="1"/>
  <c r="BW366" i="1"/>
  <c r="BJ366" i="1"/>
  <c r="Z366" i="1" s="1"/>
  <c r="BD366" i="1"/>
  <c r="AX366" i="1"/>
  <c r="AP366" i="1"/>
  <c r="BI366" i="1" s="1"/>
  <c r="AO366" i="1"/>
  <c r="BH366" i="1" s="1"/>
  <c r="AK366" i="1"/>
  <c r="AJ366" i="1"/>
  <c r="AH366" i="1"/>
  <c r="AG366" i="1"/>
  <c r="AF366" i="1"/>
  <c r="AE366" i="1"/>
  <c r="AD366" i="1"/>
  <c r="AC366" i="1"/>
  <c r="AB366" i="1"/>
  <c r="O366" i="1"/>
  <c r="BF366" i="1" s="1"/>
  <c r="L366" i="1"/>
  <c r="AL366" i="1" s="1"/>
  <c r="K366" i="1"/>
  <c r="BW365" i="1"/>
  <c r="BJ365" i="1"/>
  <c r="Z365" i="1" s="1"/>
  <c r="BF365" i="1"/>
  <c r="BD365" i="1"/>
  <c r="AP365" i="1"/>
  <c r="BI365" i="1" s="1"/>
  <c r="AO365" i="1"/>
  <c r="J365" i="1" s="1"/>
  <c r="AK365" i="1"/>
  <c r="AJ365" i="1"/>
  <c r="AH365" i="1"/>
  <c r="AG365" i="1"/>
  <c r="AF365" i="1"/>
  <c r="AE365" i="1"/>
  <c r="AD365" i="1"/>
  <c r="AC365" i="1"/>
  <c r="AB365" i="1"/>
  <c r="O365" i="1"/>
  <c r="L365" i="1"/>
  <c r="AL365" i="1" s="1"/>
  <c r="BW363" i="1"/>
  <c r="BJ363" i="1"/>
  <c r="Z363" i="1" s="1"/>
  <c r="BD363" i="1"/>
  <c r="AP363" i="1"/>
  <c r="BI363" i="1" s="1"/>
  <c r="AO363" i="1"/>
  <c r="BH363" i="1" s="1"/>
  <c r="AK363" i="1"/>
  <c r="AJ363" i="1"/>
  <c r="AH363" i="1"/>
  <c r="AG363" i="1"/>
  <c r="AF363" i="1"/>
  <c r="AE363" i="1"/>
  <c r="AD363" i="1"/>
  <c r="AC363" i="1"/>
  <c r="AB363" i="1"/>
  <c r="O363" i="1"/>
  <c r="L363" i="1"/>
  <c r="BW361" i="1"/>
  <c r="BJ361" i="1"/>
  <c r="BF361" i="1"/>
  <c r="BD361" i="1"/>
  <c r="AP361" i="1"/>
  <c r="BI361" i="1" s="1"/>
  <c r="AC361" i="1" s="1"/>
  <c r="AO361" i="1"/>
  <c r="AW361" i="1" s="1"/>
  <c r="AL361" i="1"/>
  <c r="AU360" i="1" s="1"/>
  <c r="AK361" i="1"/>
  <c r="AT360" i="1" s="1"/>
  <c r="AJ361" i="1"/>
  <c r="AS360" i="1" s="1"/>
  <c r="AH361" i="1"/>
  <c r="AG361" i="1"/>
  <c r="AF361" i="1"/>
  <c r="AE361" i="1"/>
  <c r="AD361" i="1"/>
  <c r="Z361" i="1"/>
  <c r="O361" i="1"/>
  <c r="L361" i="1"/>
  <c r="O360" i="1"/>
  <c r="G48" i="2" s="1"/>
  <c r="L360" i="1"/>
  <c r="F48" i="2" s="1"/>
  <c r="I48" i="2" s="1"/>
  <c r="BW359" i="1"/>
  <c r="BJ359" i="1"/>
  <c r="Z359" i="1" s="1"/>
  <c r="BD359" i="1"/>
  <c r="AX359" i="1"/>
  <c r="AP359" i="1"/>
  <c r="BI359" i="1" s="1"/>
  <c r="AO359" i="1"/>
  <c r="BH359" i="1" s="1"/>
  <c r="AK359" i="1"/>
  <c r="AT358" i="1" s="1"/>
  <c r="AJ359" i="1"/>
  <c r="AS358" i="1" s="1"/>
  <c r="AH359" i="1"/>
  <c r="AG359" i="1"/>
  <c r="AF359" i="1"/>
  <c r="AE359" i="1"/>
  <c r="AD359" i="1"/>
  <c r="AC359" i="1"/>
  <c r="AB359" i="1"/>
  <c r="O359" i="1"/>
  <c r="O358" i="1" s="1"/>
  <c r="G47" i="2" s="1"/>
  <c r="L359" i="1"/>
  <c r="K359" i="1"/>
  <c r="K358" i="1" s="1"/>
  <c r="E47" i="2" s="1"/>
  <c r="BW355" i="1"/>
  <c r="M355" i="1" s="1"/>
  <c r="BJ355" i="1"/>
  <c r="BF355" i="1"/>
  <c r="BD355" i="1"/>
  <c r="AP355" i="1"/>
  <c r="BI355" i="1" s="1"/>
  <c r="AC355" i="1" s="1"/>
  <c r="AO355" i="1"/>
  <c r="BH355" i="1" s="1"/>
  <c r="AB355" i="1" s="1"/>
  <c r="AL355" i="1"/>
  <c r="AK355" i="1"/>
  <c r="AJ355" i="1"/>
  <c r="AH355" i="1"/>
  <c r="AG355" i="1"/>
  <c r="AF355" i="1"/>
  <c r="AE355" i="1"/>
  <c r="AD355" i="1"/>
  <c r="Z355" i="1"/>
  <c r="O355" i="1"/>
  <c r="L355" i="1"/>
  <c r="K355" i="1"/>
  <c r="BW353" i="1"/>
  <c r="BJ353" i="1"/>
  <c r="BD353" i="1"/>
  <c r="AP353" i="1"/>
  <c r="BI353" i="1" s="1"/>
  <c r="AC353" i="1" s="1"/>
  <c r="AO353" i="1"/>
  <c r="BH353" i="1" s="1"/>
  <c r="AB353" i="1" s="1"/>
  <c r="AK353" i="1"/>
  <c r="AJ353" i="1"/>
  <c r="AH353" i="1"/>
  <c r="AG353" i="1"/>
  <c r="AF353" i="1"/>
  <c r="AE353" i="1"/>
  <c r="AD353" i="1"/>
  <c r="Z353" i="1"/>
  <c r="O353" i="1"/>
  <c r="O352" i="1" s="1"/>
  <c r="G46" i="2" s="1"/>
  <c r="L353" i="1"/>
  <c r="J353" i="1"/>
  <c r="BW348" i="1"/>
  <c r="BJ348" i="1"/>
  <c r="BF348" i="1"/>
  <c r="BD348" i="1"/>
  <c r="AW348" i="1"/>
  <c r="AP348" i="1"/>
  <c r="AO348" i="1"/>
  <c r="BH348" i="1" s="1"/>
  <c r="AB348" i="1" s="1"/>
  <c r="AK348" i="1"/>
  <c r="AT347" i="1" s="1"/>
  <c r="AJ348" i="1"/>
  <c r="AS347" i="1" s="1"/>
  <c r="AH348" i="1"/>
  <c r="AG348" i="1"/>
  <c r="AF348" i="1"/>
  <c r="AE348" i="1"/>
  <c r="AD348" i="1"/>
  <c r="Z348" i="1"/>
  <c r="O348" i="1"/>
  <c r="L348" i="1"/>
  <c r="AL348" i="1" s="1"/>
  <c r="AU347" i="1" s="1"/>
  <c r="O347" i="1"/>
  <c r="G45" i="2" s="1"/>
  <c r="BW345" i="1"/>
  <c r="BJ345" i="1"/>
  <c r="BD345" i="1"/>
  <c r="AX345" i="1"/>
  <c r="AP345" i="1"/>
  <c r="BI345" i="1" s="1"/>
  <c r="AO345" i="1"/>
  <c r="BH345" i="1" s="1"/>
  <c r="AB345" i="1" s="1"/>
  <c r="AK345" i="1"/>
  <c r="AT344" i="1" s="1"/>
  <c r="AJ345" i="1"/>
  <c r="AS344" i="1" s="1"/>
  <c r="AH345" i="1"/>
  <c r="AG345" i="1"/>
  <c r="AF345" i="1"/>
  <c r="AE345" i="1"/>
  <c r="AD345" i="1"/>
  <c r="AC345" i="1"/>
  <c r="Z345" i="1"/>
  <c r="O345" i="1"/>
  <c r="L345" i="1"/>
  <c r="K345" i="1"/>
  <c r="K344" i="1" s="1"/>
  <c r="E44" i="2" s="1"/>
  <c r="BW343" i="1"/>
  <c r="M343" i="1" s="1"/>
  <c r="BJ343" i="1"/>
  <c r="BD343" i="1"/>
  <c r="AP343" i="1"/>
  <c r="AO343" i="1"/>
  <c r="AK343" i="1"/>
  <c r="AJ343" i="1"/>
  <c r="AH343" i="1"/>
  <c r="AG343" i="1"/>
  <c r="AF343" i="1"/>
  <c r="AE343" i="1"/>
  <c r="AD343" i="1"/>
  <c r="Z343" i="1"/>
  <c r="O343" i="1"/>
  <c r="BF343" i="1" s="1"/>
  <c r="L343" i="1"/>
  <c r="AL343" i="1" s="1"/>
  <c r="BW342" i="1"/>
  <c r="BJ342" i="1"/>
  <c r="BF342" i="1"/>
  <c r="BD342" i="1"/>
  <c r="AX342" i="1"/>
  <c r="AP342" i="1"/>
  <c r="BI342" i="1" s="1"/>
  <c r="AC342" i="1" s="1"/>
  <c r="AO342" i="1"/>
  <c r="BH342" i="1" s="1"/>
  <c r="AB342" i="1" s="1"/>
  <c r="AK342" i="1"/>
  <c r="AJ342" i="1"/>
  <c r="AH342" i="1"/>
  <c r="AG342" i="1"/>
  <c r="AF342" i="1"/>
  <c r="AE342" i="1"/>
  <c r="AD342" i="1"/>
  <c r="Z342" i="1"/>
  <c r="O342" i="1"/>
  <c r="L342" i="1"/>
  <c r="K342" i="1"/>
  <c r="J342" i="1"/>
  <c r="BW341" i="1"/>
  <c r="BJ341" i="1"/>
  <c r="BD341" i="1"/>
  <c r="AP341" i="1"/>
  <c r="BI341" i="1" s="1"/>
  <c r="AC341" i="1" s="1"/>
  <c r="AO341" i="1"/>
  <c r="BH341" i="1" s="1"/>
  <c r="AB341" i="1" s="1"/>
  <c r="AK341" i="1"/>
  <c r="AJ341" i="1"/>
  <c r="AH341" i="1"/>
  <c r="AG341" i="1"/>
  <c r="AF341" i="1"/>
  <c r="AE341" i="1"/>
  <c r="AD341" i="1"/>
  <c r="Z341" i="1"/>
  <c r="O341" i="1"/>
  <c r="BF341" i="1" s="1"/>
  <c r="L341" i="1"/>
  <c r="AL341" i="1" s="1"/>
  <c r="BW340" i="1"/>
  <c r="BJ340" i="1"/>
  <c r="BD340" i="1"/>
  <c r="AW340" i="1"/>
  <c r="AP340" i="1"/>
  <c r="AO340" i="1"/>
  <c r="BH340" i="1" s="1"/>
  <c r="AB340" i="1" s="1"/>
  <c r="AL340" i="1"/>
  <c r="AK340" i="1"/>
  <c r="AJ340" i="1"/>
  <c r="AH340" i="1"/>
  <c r="AG340" i="1"/>
  <c r="AF340" i="1"/>
  <c r="AE340" i="1"/>
  <c r="AD340" i="1"/>
  <c r="Z340" i="1"/>
  <c r="O340" i="1"/>
  <c r="BF340" i="1" s="1"/>
  <c r="L340" i="1"/>
  <c r="M340" i="1" s="1"/>
  <c r="J340" i="1"/>
  <c r="BW339" i="1"/>
  <c r="BJ339" i="1"/>
  <c r="BF339" i="1"/>
  <c r="BD339" i="1"/>
  <c r="AW339" i="1"/>
  <c r="AP339" i="1"/>
  <c r="BI339" i="1" s="1"/>
  <c r="AC339" i="1" s="1"/>
  <c r="AO339" i="1"/>
  <c r="BH339" i="1" s="1"/>
  <c r="AB339" i="1" s="1"/>
  <c r="AK339" i="1"/>
  <c r="AJ339" i="1"/>
  <c r="AH339" i="1"/>
  <c r="AG339" i="1"/>
  <c r="AF339" i="1"/>
  <c r="AE339" i="1"/>
  <c r="AD339" i="1"/>
  <c r="Z339" i="1"/>
  <c r="O339" i="1"/>
  <c r="L339" i="1"/>
  <c r="K339" i="1"/>
  <c r="BW337" i="1"/>
  <c r="BJ337" i="1"/>
  <c r="BD337" i="1"/>
  <c r="AX337" i="1"/>
  <c r="AP337" i="1"/>
  <c r="BI337" i="1" s="1"/>
  <c r="AC337" i="1" s="1"/>
  <c r="AO337" i="1"/>
  <c r="BH337" i="1" s="1"/>
  <c r="AB337" i="1" s="1"/>
  <c r="AK337" i="1"/>
  <c r="AJ337" i="1"/>
  <c r="AH337" i="1"/>
  <c r="AG337" i="1"/>
  <c r="AF337" i="1"/>
  <c r="AE337" i="1"/>
  <c r="AD337" i="1"/>
  <c r="Z337" i="1"/>
  <c r="O337" i="1"/>
  <c r="BF337" i="1" s="1"/>
  <c r="L337" i="1"/>
  <c r="K337" i="1"/>
  <c r="BW313" i="1"/>
  <c r="BJ313" i="1"/>
  <c r="BF313" i="1"/>
  <c r="BD313" i="1"/>
  <c r="AP313" i="1"/>
  <c r="BI313" i="1" s="1"/>
  <c r="AE313" i="1" s="1"/>
  <c r="AO313" i="1"/>
  <c r="AK313" i="1"/>
  <c r="AT312" i="1" s="1"/>
  <c r="AJ313" i="1"/>
  <c r="AS312" i="1" s="1"/>
  <c r="AH313" i="1"/>
  <c r="AG313" i="1"/>
  <c r="AF313" i="1"/>
  <c r="AC313" i="1"/>
  <c r="AB313" i="1"/>
  <c r="Z313" i="1"/>
  <c r="O313" i="1"/>
  <c r="L313" i="1"/>
  <c r="AL313" i="1" s="1"/>
  <c r="AU312" i="1"/>
  <c r="O312" i="1"/>
  <c r="G42" i="2" s="1"/>
  <c r="BW311" i="1"/>
  <c r="BJ311" i="1"/>
  <c r="Z311" i="1" s="1"/>
  <c r="BI311" i="1"/>
  <c r="BD311" i="1"/>
  <c r="AP311" i="1"/>
  <c r="AX311" i="1" s="1"/>
  <c r="AO311" i="1"/>
  <c r="BH311" i="1" s="1"/>
  <c r="AK311" i="1"/>
  <c r="AJ311" i="1"/>
  <c r="AH311" i="1"/>
  <c r="AG311" i="1"/>
  <c r="AF311" i="1"/>
  <c r="AE311" i="1"/>
  <c r="AD311" i="1"/>
  <c r="AC311" i="1"/>
  <c r="AB311" i="1"/>
  <c r="O311" i="1"/>
  <c r="BF311" i="1" s="1"/>
  <c r="L311" i="1"/>
  <c r="AL311" i="1" s="1"/>
  <c r="BW310" i="1"/>
  <c r="BJ310" i="1"/>
  <c r="BD310" i="1"/>
  <c r="AP310" i="1"/>
  <c r="BI310" i="1" s="1"/>
  <c r="AE310" i="1" s="1"/>
  <c r="AO310" i="1"/>
  <c r="AW310" i="1" s="1"/>
  <c r="AK310" i="1"/>
  <c r="AJ310" i="1"/>
  <c r="AH310" i="1"/>
  <c r="AG310" i="1"/>
  <c r="AF310" i="1"/>
  <c r="AC310" i="1"/>
  <c r="AB310" i="1"/>
  <c r="Z310" i="1"/>
  <c r="O310" i="1"/>
  <c r="BF310" i="1" s="1"/>
  <c r="L310" i="1"/>
  <c r="K310" i="1"/>
  <c r="BW309" i="1"/>
  <c r="BJ309" i="1"/>
  <c r="BD309" i="1"/>
  <c r="AP309" i="1"/>
  <c r="AO309" i="1"/>
  <c r="AK309" i="1"/>
  <c r="AJ309" i="1"/>
  <c r="AH309" i="1"/>
  <c r="AG309" i="1"/>
  <c r="AF309" i="1"/>
  <c r="AC309" i="1"/>
  <c r="AB309" i="1"/>
  <c r="Z309" i="1"/>
  <c r="O309" i="1"/>
  <c r="BF309" i="1" s="1"/>
  <c r="L309" i="1"/>
  <c r="AL309" i="1" s="1"/>
  <c r="BW306" i="1"/>
  <c r="BJ306" i="1"/>
  <c r="BF306" i="1"/>
  <c r="BD306" i="1"/>
  <c r="AP306" i="1"/>
  <c r="AX306" i="1" s="1"/>
  <c r="AO306" i="1"/>
  <c r="AW306" i="1" s="1"/>
  <c r="AK306" i="1"/>
  <c r="AJ306" i="1"/>
  <c r="AH306" i="1"/>
  <c r="AG306" i="1"/>
  <c r="AF306" i="1"/>
  <c r="AC306" i="1"/>
  <c r="AB306" i="1"/>
  <c r="Z306" i="1"/>
  <c r="O306" i="1"/>
  <c r="L306" i="1"/>
  <c r="M306" i="1" s="1"/>
  <c r="BW304" i="1"/>
  <c r="BJ304" i="1"/>
  <c r="BD304" i="1"/>
  <c r="AP304" i="1"/>
  <c r="BI304" i="1" s="1"/>
  <c r="AE304" i="1" s="1"/>
  <c r="AO304" i="1"/>
  <c r="BH304" i="1" s="1"/>
  <c r="AD304" i="1" s="1"/>
  <c r="AK304" i="1"/>
  <c r="AJ304" i="1"/>
  <c r="AH304" i="1"/>
  <c r="AG304" i="1"/>
  <c r="AF304" i="1"/>
  <c r="AC304" i="1"/>
  <c r="AB304" i="1"/>
  <c r="Z304" i="1"/>
  <c r="O304" i="1"/>
  <c r="BF304" i="1" s="1"/>
  <c r="L304" i="1"/>
  <c r="AL304" i="1" s="1"/>
  <c r="K304" i="1"/>
  <c r="J304" i="1"/>
  <c r="BW302" i="1"/>
  <c r="BJ302" i="1"/>
  <c r="BD302" i="1"/>
  <c r="AP302" i="1"/>
  <c r="AX302" i="1" s="1"/>
  <c r="AO302" i="1"/>
  <c r="AW302" i="1" s="1"/>
  <c r="AK302" i="1"/>
  <c r="AJ302" i="1"/>
  <c r="AH302" i="1"/>
  <c r="AG302" i="1"/>
  <c r="AF302" i="1"/>
  <c r="AC302" i="1"/>
  <c r="AB302" i="1"/>
  <c r="Z302" i="1"/>
  <c r="O302" i="1"/>
  <c r="BF302" i="1" s="1"/>
  <c r="L302" i="1"/>
  <c r="M302" i="1" s="1"/>
  <c r="J302" i="1"/>
  <c r="BW301" i="1"/>
  <c r="BJ301" i="1"/>
  <c r="BD301" i="1"/>
  <c r="AX301" i="1"/>
  <c r="AP301" i="1"/>
  <c r="BI301" i="1" s="1"/>
  <c r="AE301" i="1" s="1"/>
  <c r="AO301" i="1"/>
  <c r="AK301" i="1"/>
  <c r="AJ301" i="1"/>
  <c r="AH301" i="1"/>
  <c r="AG301" i="1"/>
  <c r="AF301" i="1"/>
  <c r="AC301" i="1"/>
  <c r="AB301" i="1"/>
  <c r="Z301" i="1"/>
  <c r="O301" i="1"/>
  <c r="L301" i="1"/>
  <c r="AL301" i="1" s="1"/>
  <c r="BW285" i="1"/>
  <c r="BJ285" i="1"/>
  <c r="BF285" i="1"/>
  <c r="BD285" i="1"/>
  <c r="AP285" i="1"/>
  <c r="AO285" i="1"/>
  <c r="AW285" i="1" s="1"/>
  <c r="AL285" i="1"/>
  <c r="AK285" i="1"/>
  <c r="AJ285" i="1"/>
  <c r="AH285" i="1"/>
  <c r="AG285" i="1"/>
  <c r="AF285" i="1"/>
  <c r="AC285" i="1"/>
  <c r="AB285" i="1"/>
  <c r="Z285" i="1"/>
  <c r="O285" i="1"/>
  <c r="L285" i="1"/>
  <c r="M285" i="1" s="1"/>
  <c r="BW283" i="1"/>
  <c r="BJ283" i="1"/>
  <c r="Z283" i="1" s="1"/>
  <c r="BD283" i="1"/>
  <c r="AX283" i="1"/>
  <c r="AW283" i="1"/>
  <c r="AP283" i="1"/>
  <c r="BI283" i="1" s="1"/>
  <c r="AO283" i="1"/>
  <c r="BH283" i="1" s="1"/>
  <c r="AK283" i="1"/>
  <c r="AJ283" i="1"/>
  <c r="AH283" i="1"/>
  <c r="AG283" i="1"/>
  <c r="AF283" i="1"/>
  <c r="AE283" i="1"/>
  <c r="AD283" i="1"/>
  <c r="AC283" i="1"/>
  <c r="AB283" i="1"/>
  <c r="O283" i="1"/>
  <c r="BF283" i="1" s="1"/>
  <c r="L283" i="1"/>
  <c r="AL283" i="1" s="1"/>
  <c r="K283" i="1"/>
  <c r="BW280" i="1"/>
  <c r="BJ280" i="1"/>
  <c r="BD280" i="1"/>
  <c r="AP280" i="1"/>
  <c r="AX280" i="1" s="1"/>
  <c r="AO280" i="1"/>
  <c r="AK280" i="1"/>
  <c r="AJ280" i="1"/>
  <c r="AH280" i="1"/>
  <c r="AG280" i="1"/>
  <c r="AF280" i="1"/>
  <c r="AC280" i="1"/>
  <c r="AB280" i="1"/>
  <c r="Z280" i="1"/>
  <c r="O280" i="1"/>
  <c r="BF280" i="1" s="1"/>
  <c r="L280" i="1"/>
  <c r="M280" i="1" s="1"/>
  <c r="K280" i="1"/>
  <c r="BW278" i="1"/>
  <c r="BJ278" i="1"/>
  <c r="BD278" i="1"/>
  <c r="AP278" i="1"/>
  <c r="BI278" i="1" s="1"/>
  <c r="AE278" i="1" s="1"/>
  <c r="AO278" i="1"/>
  <c r="AK278" i="1"/>
  <c r="AJ278" i="1"/>
  <c r="AH278" i="1"/>
  <c r="AG278" i="1"/>
  <c r="AF278" i="1"/>
  <c r="AC278" i="1"/>
  <c r="AB278" i="1"/>
  <c r="Z278" i="1"/>
  <c r="O278" i="1"/>
  <c r="BF278" i="1" s="1"/>
  <c r="L278" i="1"/>
  <c r="AL278" i="1" s="1"/>
  <c r="BW276" i="1"/>
  <c r="BJ276" i="1"/>
  <c r="BF276" i="1"/>
  <c r="BD276" i="1"/>
  <c r="AP276" i="1"/>
  <c r="AO276" i="1"/>
  <c r="AK276" i="1"/>
  <c r="AJ276" i="1"/>
  <c r="AH276" i="1"/>
  <c r="AG276" i="1"/>
  <c r="AF276" i="1"/>
  <c r="AC276" i="1"/>
  <c r="AB276" i="1"/>
  <c r="Z276" i="1"/>
  <c r="O276" i="1"/>
  <c r="L276" i="1"/>
  <c r="M276" i="1" s="1"/>
  <c r="BW275" i="1"/>
  <c r="BJ275" i="1"/>
  <c r="BD275" i="1"/>
  <c r="AP275" i="1"/>
  <c r="BI275" i="1" s="1"/>
  <c r="AE275" i="1" s="1"/>
  <c r="AO275" i="1"/>
  <c r="BH275" i="1" s="1"/>
  <c r="AD275" i="1" s="1"/>
  <c r="AK275" i="1"/>
  <c r="AJ275" i="1"/>
  <c r="AH275" i="1"/>
  <c r="AG275" i="1"/>
  <c r="AF275" i="1"/>
  <c r="AC275" i="1"/>
  <c r="AB275" i="1"/>
  <c r="Z275" i="1"/>
  <c r="O275" i="1"/>
  <c r="BF275" i="1" s="1"/>
  <c r="M275" i="1"/>
  <c r="L275" i="1"/>
  <c r="AL275" i="1" s="1"/>
  <c r="BW273" i="1"/>
  <c r="BJ273" i="1"/>
  <c r="BF273" i="1"/>
  <c r="BD273" i="1"/>
  <c r="AP273" i="1"/>
  <c r="AX273" i="1" s="1"/>
  <c r="AV273" i="1" s="1"/>
  <c r="AO273" i="1"/>
  <c r="AW273" i="1" s="1"/>
  <c r="AK273" i="1"/>
  <c r="AJ273" i="1"/>
  <c r="AH273" i="1"/>
  <c r="AG273" i="1"/>
  <c r="AF273" i="1"/>
  <c r="AC273" i="1"/>
  <c r="AB273" i="1"/>
  <c r="Z273" i="1"/>
  <c r="O273" i="1"/>
  <c r="L273" i="1"/>
  <c r="J273" i="1"/>
  <c r="BW271" i="1"/>
  <c r="BJ271" i="1"/>
  <c r="BD271" i="1"/>
  <c r="AP271" i="1"/>
  <c r="BI271" i="1" s="1"/>
  <c r="AE271" i="1" s="1"/>
  <c r="AO271" i="1"/>
  <c r="BH271" i="1" s="1"/>
  <c r="AD271" i="1" s="1"/>
  <c r="AK271" i="1"/>
  <c r="AJ271" i="1"/>
  <c r="AH271" i="1"/>
  <c r="AG271" i="1"/>
  <c r="AF271" i="1"/>
  <c r="AC271" i="1"/>
  <c r="AB271" i="1"/>
  <c r="Z271" i="1"/>
  <c r="O271" i="1"/>
  <c r="BF271" i="1" s="1"/>
  <c r="L271" i="1"/>
  <c r="AL271" i="1" s="1"/>
  <c r="K271" i="1"/>
  <c r="BW270" i="1"/>
  <c r="BJ270" i="1"/>
  <c r="BD270" i="1"/>
  <c r="AP270" i="1"/>
  <c r="AX270" i="1" s="1"/>
  <c r="AO270" i="1"/>
  <c r="AW270" i="1" s="1"/>
  <c r="AK270" i="1"/>
  <c r="AJ270" i="1"/>
  <c r="AH270" i="1"/>
  <c r="AG270" i="1"/>
  <c r="AF270" i="1"/>
  <c r="AC270" i="1"/>
  <c r="AB270" i="1"/>
  <c r="Z270" i="1"/>
  <c r="O270" i="1"/>
  <c r="BF270" i="1" s="1"/>
  <c r="L270" i="1"/>
  <c r="BW268" i="1"/>
  <c r="BJ268" i="1"/>
  <c r="BD268" i="1"/>
  <c r="AP268" i="1"/>
  <c r="BI268" i="1" s="1"/>
  <c r="AE268" i="1" s="1"/>
  <c r="AO268" i="1"/>
  <c r="AK268" i="1"/>
  <c r="AJ268" i="1"/>
  <c r="AH268" i="1"/>
  <c r="AG268" i="1"/>
  <c r="AF268" i="1"/>
  <c r="AC268" i="1"/>
  <c r="AB268" i="1"/>
  <c r="Z268" i="1"/>
  <c r="O268" i="1"/>
  <c r="BF268" i="1" s="1"/>
  <c r="L268" i="1"/>
  <c r="BW266" i="1"/>
  <c r="BJ266" i="1"/>
  <c r="BF266" i="1"/>
  <c r="BD266" i="1"/>
  <c r="AP266" i="1"/>
  <c r="AX266" i="1" s="1"/>
  <c r="AO266" i="1"/>
  <c r="AW266" i="1" s="1"/>
  <c r="AK266" i="1"/>
  <c r="AJ266" i="1"/>
  <c r="AS265" i="1" s="1"/>
  <c r="AH266" i="1"/>
  <c r="AG266" i="1"/>
  <c r="AF266" i="1"/>
  <c r="AC266" i="1"/>
  <c r="AB266" i="1"/>
  <c r="Z266" i="1"/>
  <c r="O266" i="1"/>
  <c r="L266" i="1"/>
  <c r="M266" i="1" s="1"/>
  <c r="M265" i="1" s="1"/>
  <c r="AT265" i="1"/>
  <c r="O265" i="1"/>
  <c r="G39" i="2" s="1"/>
  <c r="BW242" i="1"/>
  <c r="BJ242" i="1"/>
  <c r="BD242" i="1"/>
  <c r="AP242" i="1"/>
  <c r="BI242" i="1" s="1"/>
  <c r="AC242" i="1" s="1"/>
  <c r="AO242" i="1"/>
  <c r="AK242" i="1"/>
  <c r="AT241" i="1" s="1"/>
  <c r="AJ242" i="1"/>
  <c r="AS241" i="1" s="1"/>
  <c r="AH242" i="1"/>
  <c r="AG242" i="1"/>
  <c r="AF242" i="1"/>
  <c r="AE242" i="1"/>
  <c r="AD242" i="1"/>
  <c r="Z242" i="1"/>
  <c r="O242" i="1"/>
  <c r="BF242" i="1" s="1"/>
  <c r="L242" i="1"/>
  <c r="AL242" i="1" s="1"/>
  <c r="AU241" i="1" s="1"/>
  <c r="K242" i="1"/>
  <c r="K241" i="1" s="1"/>
  <c r="E38" i="2" s="1"/>
  <c r="O241" i="1"/>
  <c r="G38" i="2" s="1"/>
  <c r="BW239" i="1"/>
  <c r="BJ239" i="1"/>
  <c r="BF239" i="1"/>
  <c r="BD239" i="1"/>
  <c r="AP239" i="1"/>
  <c r="AX239" i="1" s="1"/>
  <c r="AO239" i="1"/>
  <c r="AW239" i="1" s="1"/>
  <c r="AK239" i="1"/>
  <c r="AJ239" i="1"/>
  <c r="AH239" i="1"/>
  <c r="AG239" i="1"/>
  <c r="AF239" i="1"/>
  <c r="AE239" i="1"/>
  <c r="AD239" i="1"/>
  <c r="Z239" i="1"/>
  <c r="O239" i="1"/>
  <c r="L239" i="1"/>
  <c r="K239" i="1"/>
  <c r="J239" i="1"/>
  <c r="BW237" i="1"/>
  <c r="M237" i="1" s="1"/>
  <c r="BJ237" i="1"/>
  <c r="BD237" i="1"/>
  <c r="AW237" i="1"/>
  <c r="AP237" i="1"/>
  <c r="AO237" i="1"/>
  <c r="BH237" i="1" s="1"/>
  <c r="AK237" i="1"/>
  <c r="AJ237" i="1"/>
  <c r="AH237" i="1"/>
  <c r="AG237" i="1"/>
  <c r="AF237" i="1"/>
  <c r="AE237" i="1"/>
  <c r="AD237" i="1"/>
  <c r="AB237" i="1"/>
  <c r="Z237" i="1"/>
  <c r="O237" i="1"/>
  <c r="BF237" i="1" s="1"/>
  <c r="L237" i="1"/>
  <c r="AL237" i="1" s="1"/>
  <c r="J237" i="1"/>
  <c r="BW236" i="1"/>
  <c r="BJ236" i="1"/>
  <c r="BF236" i="1"/>
  <c r="BD236" i="1"/>
  <c r="AP236" i="1"/>
  <c r="AX236" i="1" s="1"/>
  <c r="AO236" i="1"/>
  <c r="AK236" i="1"/>
  <c r="AJ236" i="1"/>
  <c r="AH236" i="1"/>
  <c r="AG236" i="1"/>
  <c r="AF236" i="1"/>
  <c r="AE236" i="1"/>
  <c r="AD236" i="1"/>
  <c r="Z236" i="1"/>
  <c r="O236" i="1"/>
  <c r="L236" i="1"/>
  <c r="BW232" i="1"/>
  <c r="BJ232" i="1"/>
  <c r="BD232" i="1"/>
  <c r="AW232" i="1"/>
  <c r="AP232" i="1"/>
  <c r="BI232" i="1" s="1"/>
  <c r="AC232" i="1" s="1"/>
  <c r="AO232" i="1"/>
  <c r="BH232" i="1" s="1"/>
  <c r="AB232" i="1" s="1"/>
  <c r="AK232" i="1"/>
  <c r="AJ232" i="1"/>
  <c r="AH232" i="1"/>
  <c r="AG232" i="1"/>
  <c r="AF232" i="1"/>
  <c r="AE232" i="1"/>
  <c r="AD232" i="1"/>
  <c r="Z232" i="1"/>
  <c r="O232" i="1"/>
  <c r="BF232" i="1" s="1"/>
  <c r="L232" i="1"/>
  <c r="K232" i="1"/>
  <c r="J232" i="1"/>
  <c r="BW230" i="1"/>
  <c r="BJ230" i="1"/>
  <c r="BD230" i="1"/>
  <c r="AP230" i="1"/>
  <c r="AX230" i="1" s="1"/>
  <c r="AO230" i="1"/>
  <c r="AW230" i="1" s="1"/>
  <c r="AK230" i="1"/>
  <c r="AJ230" i="1"/>
  <c r="AH230" i="1"/>
  <c r="AG230" i="1"/>
  <c r="AF230" i="1"/>
  <c r="AE230" i="1"/>
  <c r="AD230" i="1"/>
  <c r="Z230" i="1"/>
  <c r="O230" i="1"/>
  <c r="BF230" i="1" s="1"/>
  <c r="L230" i="1"/>
  <c r="M230" i="1" s="1"/>
  <c r="K230" i="1"/>
  <c r="J230" i="1"/>
  <c r="BW226" i="1"/>
  <c r="BJ226" i="1"/>
  <c r="BD226" i="1"/>
  <c r="AW226" i="1"/>
  <c r="AP226" i="1"/>
  <c r="AO226" i="1"/>
  <c r="BH226" i="1" s="1"/>
  <c r="AK226" i="1"/>
  <c r="AJ226" i="1"/>
  <c r="AH226" i="1"/>
  <c r="AG226" i="1"/>
  <c r="AF226" i="1"/>
  <c r="AE226" i="1"/>
  <c r="AD226" i="1"/>
  <c r="AB226" i="1"/>
  <c r="Z226" i="1"/>
  <c r="O226" i="1"/>
  <c r="L226" i="1"/>
  <c r="AL226" i="1" s="1"/>
  <c r="J226" i="1"/>
  <c r="BW223" i="1"/>
  <c r="BJ223" i="1"/>
  <c r="BF223" i="1"/>
  <c r="BD223" i="1"/>
  <c r="AP223" i="1"/>
  <c r="AO223" i="1"/>
  <c r="AK223" i="1"/>
  <c r="AJ223" i="1"/>
  <c r="AH223" i="1"/>
  <c r="AG223" i="1"/>
  <c r="AF223" i="1"/>
  <c r="AE223" i="1"/>
  <c r="AD223" i="1"/>
  <c r="Z223" i="1"/>
  <c r="O223" i="1"/>
  <c r="L223" i="1"/>
  <c r="BW220" i="1"/>
  <c r="BJ220" i="1"/>
  <c r="BD220" i="1"/>
  <c r="AP220" i="1"/>
  <c r="BI220" i="1" s="1"/>
  <c r="AC220" i="1" s="1"/>
  <c r="AO220" i="1"/>
  <c r="BH220" i="1" s="1"/>
  <c r="AB220" i="1" s="1"/>
  <c r="AK220" i="1"/>
  <c r="AT219" i="1" s="1"/>
  <c r="AJ220" i="1"/>
  <c r="AS219" i="1" s="1"/>
  <c r="AH220" i="1"/>
  <c r="AG220" i="1"/>
  <c r="AF220" i="1"/>
  <c r="AE220" i="1"/>
  <c r="AD220" i="1"/>
  <c r="Z220" i="1"/>
  <c r="O220" i="1"/>
  <c r="BF220" i="1" s="1"/>
  <c r="L220" i="1"/>
  <c r="AL220" i="1" s="1"/>
  <c r="AU219" i="1" s="1"/>
  <c r="O219" i="1"/>
  <c r="G36" i="2" s="1"/>
  <c r="BW218" i="1"/>
  <c r="BJ218" i="1"/>
  <c r="BD218" i="1"/>
  <c r="AP218" i="1"/>
  <c r="AX218" i="1" s="1"/>
  <c r="AO218" i="1"/>
  <c r="AK218" i="1"/>
  <c r="AJ218" i="1"/>
  <c r="AH218" i="1"/>
  <c r="AG218" i="1"/>
  <c r="AF218" i="1"/>
  <c r="AE218" i="1"/>
  <c r="AD218" i="1"/>
  <c r="Z218" i="1"/>
  <c r="O218" i="1"/>
  <c r="BF218" i="1" s="1"/>
  <c r="L218" i="1"/>
  <c r="K218" i="1"/>
  <c r="BW215" i="1"/>
  <c r="BJ215" i="1"/>
  <c r="BD215" i="1"/>
  <c r="AP215" i="1"/>
  <c r="AO215" i="1"/>
  <c r="BH215" i="1" s="1"/>
  <c r="AB215" i="1" s="1"/>
  <c r="AK215" i="1"/>
  <c r="AT214" i="1" s="1"/>
  <c r="AJ215" i="1"/>
  <c r="AH215" i="1"/>
  <c r="AG215" i="1"/>
  <c r="AF215" i="1"/>
  <c r="AE215" i="1"/>
  <c r="AD215" i="1"/>
  <c r="Z215" i="1"/>
  <c r="O215" i="1"/>
  <c r="BF215" i="1" s="1"/>
  <c r="L215" i="1"/>
  <c r="AL215" i="1" s="1"/>
  <c r="BW211" i="1"/>
  <c r="BP211" i="1"/>
  <c r="F38" i="4" s="1"/>
  <c r="I38" i="4" s="1"/>
  <c r="BJ211" i="1"/>
  <c r="BD211" i="1"/>
  <c r="AP211" i="1"/>
  <c r="BI211" i="1" s="1"/>
  <c r="AO211" i="1"/>
  <c r="AW211" i="1" s="1"/>
  <c r="AK211" i="1"/>
  <c r="AT210" i="1" s="1"/>
  <c r="AJ211" i="1"/>
  <c r="AS210" i="1" s="1"/>
  <c r="AH211" i="1"/>
  <c r="AG211" i="1"/>
  <c r="AF211" i="1"/>
  <c r="AE211" i="1"/>
  <c r="AD211" i="1"/>
  <c r="AC211" i="1"/>
  <c r="AB211" i="1"/>
  <c r="Z211" i="1"/>
  <c r="O211" i="1"/>
  <c r="BF211" i="1" s="1"/>
  <c r="L211" i="1"/>
  <c r="L210" i="1" s="1"/>
  <c r="F33" i="2" s="1"/>
  <c r="I33" i="2" s="1"/>
  <c r="BW208" i="1"/>
  <c r="BJ208" i="1"/>
  <c r="BD208" i="1"/>
  <c r="AP208" i="1"/>
  <c r="AX208" i="1" s="1"/>
  <c r="AO208" i="1"/>
  <c r="AW208" i="1" s="1"/>
  <c r="AK208" i="1"/>
  <c r="AT207" i="1" s="1"/>
  <c r="AJ208" i="1"/>
  <c r="AS207" i="1" s="1"/>
  <c r="AH208" i="1"/>
  <c r="AG208" i="1"/>
  <c r="AF208" i="1"/>
  <c r="AE208" i="1"/>
  <c r="AD208" i="1"/>
  <c r="AC208" i="1"/>
  <c r="AB208" i="1"/>
  <c r="Z208" i="1"/>
  <c r="O208" i="1"/>
  <c r="L208" i="1"/>
  <c r="AL208" i="1" s="1"/>
  <c r="AU207" i="1" s="1"/>
  <c r="BW205" i="1"/>
  <c r="BJ205" i="1"/>
  <c r="BD205" i="1"/>
  <c r="AP205" i="1"/>
  <c r="BI205" i="1" s="1"/>
  <c r="AC205" i="1" s="1"/>
  <c r="AO205" i="1"/>
  <c r="BH205" i="1" s="1"/>
  <c r="AB205" i="1" s="1"/>
  <c r="AK205" i="1"/>
  <c r="AJ205" i="1"/>
  <c r="AS204" i="1" s="1"/>
  <c r="AH205" i="1"/>
  <c r="AG205" i="1"/>
  <c r="AF205" i="1"/>
  <c r="AE205" i="1"/>
  <c r="AD205" i="1"/>
  <c r="Z205" i="1"/>
  <c r="O205" i="1"/>
  <c r="BF205" i="1" s="1"/>
  <c r="L205" i="1"/>
  <c r="AT204" i="1"/>
  <c r="O204" i="1"/>
  <c r="G30" i="2" s="1"/>
  <c r="BW200" i="1"/>
  <c r="BJ200" i="1"/>
  <c r="BF200" i="1"/>
  <c r="BD200" i="1"/>
  <c r="AP200" i="1"/>
  <c r="BI200" i="1" s="1"/>
  <c r="AE200" i="1" s="1"/>
  <c r="AO200" i="1"/>
  <c r="AW200" i="1" s="1"/>
  <c r="AK200" i="1"/>
  <c r="AJ200" i="1"/>
  <c r="AH200" i="1"/>
  <c r="AG200" i="1"/>
  <c r="AF200" i="1"/>
  <c r="AC200" i="1"/>
  <c r="AB200" i="1"/>
  <c r="Z200" i="1"/>
  <c r="O200" i="1"/>
  <c r="L200" i="1"/>
  <c r="M200" i="1" s="1"/>
  <c r="J200" i="1"/>
  <c r="BW197" i="1"/>
  <c r="BJ197" i="1"/>
  <c r="BD197" i="1"/>
  <c r="AP197" i="1"/>
  <c r="AO197" i="1"/>
  <c r="AK197" i="1"/>
  <c r="AJ197" i="1"/>
  <c r="AH197" i="1"/>
  <c r="AG197" i="1"/>
  <c r="AF197" i="1"/>
  <c r="AC197" i="1"/>
  <c r="AB197" i="1"/>
  <c r="Z197" i="1"/>
  <c r="O197" i="1"/>
  <c r="BF197" i="1" s="1"/>
  <c r="L197" i="1"/>
  <c r="AL197" i="1" s="1"/>
  <c r="BW192" i="1"/>
  <c r="BJ192" i="1"/>
  <c r="BF192" i="1"/>
  <c r="BD192" i="1"/>
  <c r="AP192" i="1"/>
  <c r="BI192" i="1" s="1"/>
  <c r="AC192" i="1" s="1"/>
  <c r="AO192" i="1"/>
  <c r="AW192" i="1" s="1"/>
  <c r="AK192" i="1"/>
  <c r="AJ192" i="1"/>
  <c r="AH192" i="1"/>
  <c r="AG192" i="1"/>
  <c r="AF192" i="1"/>
  <c r="AE192" i="1"/>
  <c r="AD192" i="1"/>
  <c r="Z192" i="1"/>
  <c r="O192" i="1"/>
  <c r="O191" i="1" s="1"/>
  <c r="G28" i="2" s="1"/>
  <c r="L192" i="1"/>
  <c r="K192" i="1"/>
  <c r="K191" i="1" s="1"/>
  <c r="E28" i="2" s="1"/>
  <c r="J192" i="1"/>
  <c r="J191" i="1" s="1"/>
  <c r="D28" i="2" s="1"/>
  <c r="AT191" i="1"/>
  <c r="AS191" i="1"/>
  <c r="BW189" i="1"/>
  <c r="BJ189" i="1"/>
  <c r="BD189" i="1"/>
  <c r="AP189" i="1"/>
  <c r="BI189" i="1" s="1"/>
  <c r="AC189" i="1" s="1"/>
  <c r="AO189" i="1"/>
  <c r="AW189" i="1" s="1"/>
  <c r="AK189" i="1"/>
  <c r="AJ189" i="1"/>
  <c r="AH189" i="1"/>
  <c r="AG189" i="1"/>
  <c r="AF189" i="1"/>
  <c r="AE189" i="1"/>
  <c r="AD189" i="1"/>
  <c r="Z189" i="1"/>
  <c r="O189" i="1"/>
  <c r="BF189" i="1" s="1"/>
  <c r="L189" i="1"/>
  <c r="BW186" i="1"/>
  <c r="BJ186" i="1"/>
  <c r="BF186" i="1"/>
  <c r="BD186" i="1"/>
  <c r="AP186" i="1"/>
  <c r="BI186" i="1" s="1"/>
  <c r="AC186" i="1" s="1"/>
  <c r="AO186" i="1"/>
  <c r="AW186" i="1" s="1"/>
  <c r="AK186" i="1"/>
  <c r="AJ186" i="1"/>
  <c r="AH186" i="1"/>
  <c r="AG186" i="1"/>
  <c r="AF186" i="1"/>
  <c r="AE186" i="1"/>
  <c r="AD186" i="1"/>
  <c r="Z186" i="1"/>
  <c r="O186" i="1"/>
  <c r="L186" i="1"/>
  <c r="AL186" i="1" s="1"/>
  <c r="J186" i="1"/>
  <c r="BW184" i="1"/>
  <c r="M184" i="1" s="1"/>
  <c r="BJ184" i="1"/>
  <c r="BD184" i="1"/>
  <c r="AP184" i="1"/>
  <c r="BI184" i="1" s="1"/>
  <c r="AC184" i="1" s="1"/>
  <c r="AO184" i="1"/>
  <c r="BH184" i="1" s="1"/>
  <c r="AB184" i="1" s="1"/>
  <c r="AK184" i="1"/>
  <c r="AJ184" i="1"/>
  <c r="AH184" i="1"/>
  <c r="AG184" i="1"/>
  <c r="AF184" i="1"/>
  <c r="AE184" i="1"/>
  <c r="AD184" i="1"/>
  <c r="Z184" i="1"/>
  <c r="O184" i="1"/>
  <c r="BF184" i="1" s="1"/>
  <c r="L184" i="1"/>
  <c r="AL184" i="1" s="1"/>
  <c r="K184" i="1"/>
  <c r="J184" i="1"/>
  <c r="BW179" i="1"/>
  <c r="BJ179" i="1"/>
  <c r="BD179" i="1"/>
  <c r="AP179" i="1"/>
  <c r="BI179" i="1" s="1"/>
  <c r="AO179" i="1"/>
  <c r="AK179" i="1"/>
  <c r="AJ179" i="1"/>
  <c r="AH179" i="1"/>
  <c r="AG179" i="1"/>
  <c r="AF179" i="1"/>
  <c r="AE179" i="1"/>
  <c r="AD179" i="1"/>
  <c r="AC179" i="1"/>
  <c r="Z179" i="1"/>
  <c r="O179" i="1"/>
  <c r="BF179" i="1" s="1"/>
  <c r="L179" i="1"/>
  <c r="AL179" i="1" s="1"/>
  <c r="BW177" i="1"/>
  <c r="BJ177" i="1"/>
  <c r="BD177" i="1"/>
  <c r="AW177" i="1"/>
  <c r="AP177" i="1"/>
  <c r="AO177" i="1"/>
  <c r="BH177" i="1" s="1"/>
  <c r="AB177" i="1" s="1"/>
  <c r="AK177" i="1"/>
  <c r="AJ177" i="1"/>
  <c r="AH177" i="1"/>
  <c r="AG177" i="1"/>
  <c r="AF177" i="1"/>
  <c r="AE177" i="1"/>
  <c r="AD177" i="1"/>
  <c r="Z177" i="1"/>
  <c r="O177" i="1"/>
  <c r="BF177" i="1" s="1"/>
  <c r="L177" i="1"/>
  <c r="J177" i="1"/>
  <c r="BW174" i="1"/>
  <c r="BJ174" i="1"/>
  <c r="BF174" i="1"/>
  <c r="BD174" i="1"/>
  <c r="AP174" i="1"/>
  <c r="BI174" i="1" s="1"/>
  <c r="AC174" i="1" s="1"/>
  <c r="AO174" i="1"/>
  <c r="AK174" i="1"/>
  <c r="AJ174" i="1"/>
  <c r="AH174" i="1"/>
  <c r="AG174" i="1"/>
  <c r="AF174" i="1"/>
  <c r="AE174" i="1"/>
  <c r="AD174" i="1"/>
  <c r="Z174" i="1"/>
  <c r="O174" i="1"/>
  <c r="L174" i="1"/>
  <c r="M174" i="1" s="1"/>
  <c r="BW172" i="1"/>
  <c r="BJ172" i="1"/>
  <c r="BD172" i="1"/>
  <c r="AW172" i="1"/>
  <c r="AP172" i="1"/>
  <c r="BI172" i="1" s="1"/>
  <c r="AC172" i="1" s="1"/>
  <c r="AO172" i="1"/>
  <c r="BH172" i="1" s="1"/>
  <c r="AB172" i="1" s="1"/>
  <c r="AK172" i="1"/>
  <c r="AJ172" i="1"/>
  <c r="AH172" i="1"/>
  <c r="AG172" i="1"/>
  <c r="AF172" i="1"/>
  <c r="AE172" i="1"/>
  <c r="AD172" i="1"/>
  <c r="Z172" i="1"/>
  <c r="O172" i="1"/>
  <c r="BF172" i="1" s="1"/>
  <c r="L172" i="1"/>
  <c r="K172" i="1"/>
  <c r="J172" i="1"/>
  <c r="BW166" i="1"/>
  <c r="BJ166" i="1"/>
  <c r="BD166" i="1"/>
  <c r="AP166" i="1"/>
  <c r="BI166" i="1" s="1"/>
  <c r="AO166" i="1"/>
  <c r="AK166" i="1"/>
  <c r="AJ166" i="1"/>
  <c r="AH166" i="1"/>
  <c r="AG166" i="1"/>
  <c r="AF166" i="1"/>
  <c r="AE166" i="1"/>
  <c r="AD166" i="1"/>
  <c r="AC166" i="1"/>
  <c r="Z166" i="1"/>
  <c r="O166" i="1"/>
  <c r="BF166" i="1" s="1"/>
  <c r="L166" i="1"/>
  <c r="AL166" i="1" s="1"/>
  <c r="BW165" i="1"/>
  <c r="BJ165" i="1"/>
  <c r="BD165" i="1"/>
  <c r="AP165" i="1"/>
  <c r="AO165" i="1"/>
  <c r="BH165" i="1" s="1"/>
  <c r="AB165" i="1" s="1"/>
  <c r="AK165" i="1"/>
  <c r="AJ165" i="1"/>
  <c r="AH165" i="1"/>
  <c r="AG165" i="1"/>
  <c r="AF165" i="1"/>
  <c r="AE165" i="1"/>
  <c r="AD165" i="1"/>
  <c r="Z165" i="1"/>
  <c r="O165" i="1"/>
  <c r="BF165" i="1" s="1"/>
  <c r="L165" i="1"/>
  <c r="BW160" i="1"/>
  <c r="BJ160" i="1"/>
  <c r="BF160" i="1"/>
  <c r="BD160" i="1"/>
  <c r="AP160" i="1"/>
  <c r="BI160" i="1" s="1"/>
  <c r="AC160" i="1" s="1"/>
  <c r="AO160" i="1"/>
  <c r="AL160" i="1"/>
  <c r="AK160" i="1"/>
  <c r="AJ160" i="1"/>
  <c r="AH160" i="1"/>
  <c r="AG160" i="1"/>
  <c r="AF160" i="1"/>
  <c r="AE160" i="1"/>
  <c r="AD160" i="1"/>
  <c r="Z160" i="1"/>
  <c r="O160" i="1"/>
  <c r="L160" i="1"/>
  <c r="M160" i="1" s="1"/>
  <c r="BW156" i="1"/>
  <c r="BJ156" i="1"/>
  <c r="BD156" i="1"/>
  <c r="AW156" i="1"/>
  <c r="AP156" i="1"/>
  <c r="BI156" i="1" s="1"/>
  <c r="AC156" i="1" s="1"/>
  <c r="AO156" i="1"/>
  <c r="BH156" i="1" s="1"/>
  <c r="AB156" i="1" s="1"/>
  <c r="AK156" i="1"/>
  <c r="AJ156" i="1"/>
  <c r="AH156" i="1"/>
  <c r="AG156" i="1"/>
  <c r="AF156" i="1"/>
  <c r="AE156" i="1"/>
  <c r="AD156" i="1"/>
  <c r="Z156" i="1"/>
  <c r="O156" i="1"/>
  <c r="BF156" i="1" s="1"/>
  <c r="L156" i="1"/>
  <c r="AL156" i="1" s="1"/>
  <c r="J156" i="1"/>
  <c r="BW153" i="1"/>
  <c r="BJ153" i="1"/>
  <c r="BD153" i="1"/>
  <c r="AP153" i="1"/>
  <c r="BI153" i="1" s="1"/>
  <c r="AC153" i="1" s="1"/>
  <c r="AO153" i="1"/>
  <c r="AK153" i="1"/>
  <c r="AJ153" i="1"/>
  <c r="AH153" i="1"/>
  <c r="AG153" i="1"/>
  <c r="AF153" i="1"/>
  <c r="AE153" i="1"/>
  <c r="AD153" i="1"/>
  <c r="Z153" i="1"/>
  <c r="O153" i="1"/>
  <c r="BF153" i="1" s="1"/>
  <c r="L153" i="1"/>
  <c r="AL153" i="1" s="1"/>
  <c r="BW145" i="1"/>
  <c r="BJ145" i="1"/>
  <c r="BD145" i="1"/>
  <c r="AW145" i="1"/>
  <c r="AP145" i="1"/>
  <c r="AO145" i="1"/>
  <c r="BH145" i="1" s="1"/>
  <c r="AB145" i="1" s="1"/>
  <c r="AK145" i="1"/>
  <c r="AJ145" i="1"/>
  <c r="AH145" i="1"/>
  <c r="AG145" i="1"/>
  <c r="AF145" i="1"/>
  <c r="AE145" i="1"/>
  <c r="AD145" i="1"/>
  <c r="Z145" i="1"/>
  <c r="O145" i="1"/>
  <c r="BF145" i="1" s="1"/>
  <c r="L145" i="1"/>
  <c r="BW140" i="1"/>
  <c r="BJ140" i="1"/>
  <c r="BF140" i="1"/>
  <c r="BD140" i="1"/>
  <c r="AP140" i="1"/>
  <c r="BI140" i="1" s="1"/>
  <c r="AC140" i="1" s="1"/>
  <c r="AO140" i="1"/>
  <c r="AK140" i="1"/>
  <c r="AJ140" i="1"/>
  <c r="AH140" i="1"/>
  <c r="AG140" i="1"/>
  <c r="AF140" i="1"/>
  <c r="AE140" i="1"/>
  <c r="AD140" i="1"/>
  <c r="Z140" i="1"/>
  <c r="O140" i="1"/>
  <c r="L140" i="1"/>
  <c r="M140" i="1" s="1"/>
  <c r="BW135" i="1"/>
  <c r="BJ135" i="1"/>
  <c r="BD135" i="1"/>
  <c r="AP135" i="1"/>
  <c r="BI135" i="1" s="1"/>
  <c r="AC135" i="1" s="1"/>
  <c r="AO135" i="1"/>
  <c r="BH135" i="1" s="1"/>
  <c r="AB135" i="1" s="1"/>
  <c r="AK135" i="1"/>
  <c r="AJ135" i="1"/>
  <c r="AH135" i="1"/>
  <c r="AG135" i="1"/>
  <c r="AF135" i="1"/>
  <c r="AE135" i="1"/>
  <c r="AD135" i="1"/>
  <c r="Z135" i="1"/>
  <c r="O135" i="1"/>
  <c r="BF135" i="1" s="1"/>
  <c r="L135" i="1"/>
  <c r="J135" i="1"/>
  <c r="BW130" i="1"/>
  <c r="BJ130" i="1"/>
  <c r="BD130" i="1"/>
  <c r="AP130" i="1"/>
  <c r="BI130" i="1" s="1"/>
  <c r="AC130" i="1" s="1"/>
  <c r="AO130" i="1"/>
  <c r="AW130" i="1" s="1"/>
  <c r="AK130" i="1"/>
  <c r="AJ130" i="1"/>
  <c r="AH130" i="1"/>
  <c r="AG130" i="1"/>
  <c r="AF130" i="1"/>
  <c r="AE130" i="1"/>
  <c r="AD130" i="1"/>
  <c r="Z130" i="1"/>
  <c r="O130" i="1"/>
  <c r="O129" i="1" s="1"/>
  <c r="G25" i="2" s="1"/>
  <c r="L130" i="1"/>
  <c r="K130" i="1"/>
  <c r="J130" i="1"/>
  <c r="BW127" i="1"/>
  <c r="BJ127" i="1"/>
  <c r="BD127" i="1"/>
  <c r="AP127" i="1"/>
  <c r="BI127" i="1" s="1"/>
  <c r="AC127" i="1" s="1"/>
  <c r="AO127" i="1"/>
  <c r="AK127" i="1"/>
  <c r="AJ127" i="1"/>
  <c r="AS126" i="1" s="1"/>
  <c r="AH127" i="1"/>
  <c r="AG127" i="1"/>
  <c r="AF127" i="1"/>
  <c r="AE127" i="1"/>
  <c r="AD127" i="1"/>
  <c r="Z127" i="1"/>
  <c r="O127" i="1"/>
  <c r="BF127" i="1" s="1"/>
  <c r="L127" i="1"/>
  <c r="AT126" i="1"/>
  <c r="O126" i="1"/>
  <c r="G24" i="2" s="1"/>
  <c r="BW124" i="1"/>
  <c r="BJ124" i="1"/>
  <c r="BF124" i="1"/>
  <c r="BD124" i="1"/>
  <c r="AP124" i="1"/>
  <c r="BI124" i="1" s="1"/>
  <c r="AC124" i="1" s="1"/>
  <c r="AO124" i="1"/>
  <c r="AW124" i="1" s="1"/>
  <c r="AK124" i="1"/>
  <c r="AJ124" i="1"/>
  <c r="AS123" i="1" s="1"/>
  <c r="AH124" i="1"/>
  <c r="AG124" i="1"/>
  <c r="AF124" i="1"/>
  <c r="AE124" i="1"/>
  <c r="AD124" i="1"/>
  <c r="Z124" i="1"/>
  <c r="O124" i="1"/>
  <c r="O123" i="1" s="1"/>
  <c r="G23" i="2" s="1"/>
  <c r="L124" i="1"/>
  <c r="AL124" i="1" s="1"/>
  <c r="AU123" i="1" s="1"/>
  <c r="AT123" i="1"/>
  <c r="BW121" i="1"/>
  <c r="BJ121" i="1"/>
  <c r="BD121" i="1"/>
  <c r="AP121" i="1"/>
  <c r="K121" i="1" s="1"/>
  <c r="AO121" i="1"/>
  <c r="BH121" i="1" s="1"/>
  <c r="AB121" i="1" s="1"/>
  <c r="AK121" i="1"/>
  <c r="AJ121" i="1"/>
  <c r="AH121" i="1"/>
  <c r="AG121" i="1"/>
  <c r="AF121" i="1"/>
  <c r="AE121" i="1"/>
  <c r="AD121" i="1"/>
  <c r="Z121" i="1"/>
  <c r="O121" i="1"/>
  <c r="BF121" i="1" s="1"/>
  <c r="L121" i="1"/>
  <c r="AL121" i="1" s="1"/>
  <c r="BW119" i="1"/>
  <c r="BJ119" i="1"/>
  <c r="BD119" i="1"/>
  <c r="AP119" i="1"/>
  <c r="BI119" i="1" s="1"/>
  <c r="AC119" i="1" s="1"/>
  <c r="AO119" i="1"/>
  <c r="AW119" i="1" s="1"/>
  <c r="AK119" i="1"/>
  <c r="AJ119" i="1"/>
  <c r="AH119" i="1"/>
  <c r="AG119" i="1"/>
  <c r="AF119" i="1"/>
  <c r="AE119" i="1"/>
  <c r="AD119" i="1"/>
  <c r="Z119" i="1"/>
  <c r="O119" i="1"/>
  <c r="BF119" i="1" s="1"/>
  <c r="L119" i="1"/>
  <c r="M119" i="1" s="1"/>
  <c r="BW117" i="1"/>
  <c r="BJ117" i="1"/>
  <c r="BD117" i="1"/>
  <c r="AP117" i="1"/>
  <c r="AX117" i="1" s="1"/>
  <c r="AO117" i="1"/>
  <c r="AW117" i="1" s="1"/>
  <c r="AK117" i="1"/>
  <c r="AJ117" i="1"/>
  <c r="AH117" i="1"/>
  <c r="AG117" i="1"/>
  <c r="AF117" i="1"/>
  <c r="AE117" i="1"/>
  <c r="AD117" i="1"/>
  <c r="Z117" i="1"/>
  <c r="O117" i="1"/>
  <c r="L117" i="1"/>
  <c r="M117" i="1" s="1"/>
  <c r="K117" i="1"/>
  <c r="J117" i="1"/>
  <c r="BW113" i="1"/>
  <c r="BJ113" i="1"/>
  <c r="BD113" i="1"/>
  <c r="AP113" i="1"/>
  <c r="AO113" i="1"/>
  <c r="J113" i="1" s="1"/>
  <c r="AK113" i="1"/>
  <c r="AJ113" i="1"/>
  <c r="AH113" i="1"/>
  <c r="AG113" i="1"/>
  <c r="AF113" i="1"/>
  <c r="AE113" i="1"/>
  <c r="AD113" i="1"/>
  <c r="Z113" i="1"/>
  <c r="O113" i="1"/>
  <c r="BF113" i="1" s="1"/>
  <c r="L113" i="1"/>
  <c r="M113" i="1" s="1"/>
  <c r="BW111" i="1"/>
  <c r="BJ111" i="1"/>
  <c r="BD111" i="1"/>
  <c r="AP111" i="1"/>
  <c r="K111" i="1" s="1"/>
  <c r="AO111" i="1"/>
  <c r="AW111" i="1" s="1"/>
  <c r="AK111" i="1"/>
  <c r="AJ111" i="1"/>
  <c r="AH111" i="1"/>
  <c r="AG111" i="1"/>
  <c r="AF111" i="1"/>
  <c r="AE111" i="1"/>
  <c r="AD111" i="1"/>
  <c r="Z111" i="1"/>
  <c r="O111" i="1"/>
  <c r="BF111" i="1" s="1"/>
  <c r="L111" i="1"/>
  <c r="AL111" i="1" s="1"/>
  <c r="BW108" i="1"/>
  <c r="BJ108" i="1"/>
  <c r="BD108" i="1"/>
  <c r="AP108" i="1"/>
  <c r="BI108" i="1" s="1"/>
  <c r="AC108" i="1" s="1"/>
  <c r="AO108" i="1"/>
  <c r="AW108" i="1" s="1"/>
  <c r="AK108" i="1"/>
  <c r="AJ108" i="1"/>
  <c r="AH108" i="1"/>
  <c r="AG108" i="1"/>
  <c r="AF108" i="1"/>
  <c r="AE108" i="1"/>
  <c r="AD108" i="1"/>
  <c r="Z108" i="1"/>
  <c r="O108" i="1"/>
  <c r="BF108" i="1" s="1"/>
  <c r="L108" i="1"/>
  <c r="AL108" i="1" s="1"/>
  <c r="BW103" i="1"/>
  <c r="BJ103" i="1"/>
  <c r="BD103" i="1"/>
  <c r="AP103" i="1"/>
  <c r="BI103" i="1" s="1"/>
  <c r="AC103" i="1" s="1"/>
  <c r="AO103" i="1"/>
  <c r="AW103" i="1" s="1"/>
  <c r="AK103" i="1"/>
  <c r="AJ103" i="1"/>
  <c r="AH103" i="1"/>
  <c r="AG103" i="1"/>
  <c r="AF103" i="1"/>
  <c r="AE103" i="1"/>
  <c r="AD103" i="1"/>
  <c r="Z103" i="1"/>
  <c r="O103" i="1"/>
  <c r="L103" i="1"/>
  <c r="BW98" i="1"/>
  <c r="BJ98" i="1"/>
  <c r="Z98" i="1" s="1"/>
  <c r="BD98" i="1"/>
  <c r="AP98" i="1"/>
  <c r="AX98" i="1" s="1"/>
  <c r="AO98" i="1"/>
  <c r="AK98" i="1"/>
  <c r="AJ98" i="1"/>
  <c r="AH98" i="1"/>
  <c r="AG98" i="1"/>
  <c r="AF98" i="1"/>
  <c r="AE98" i="1"/>
  <c r="AD98" i="1"/>
  <c r="AC98" i="1"/>
  <c r="AB98" i="1"/>
  <c r="O98" i="1"/>
  <c r="BF98" i="1" s="1"/>
  <c r="L98" i="1"/>
  <c r="BW96" i="1"/>
  <c r="BJ96" i="1"/>
  <c r="Z96" i="1" s="1"/>
  <c r="BD96" i="1"/>
  <c r="AP96" i="1"/>
  <c r="AX96" i="1" s="1"/>
  <c r="AO96" i="1"/>
  <c r="BH96" i="1" s="1"/>
  <c r="AK96" i="1"/>
  <c r="AJ96" i="1"/>
  <c r="AH96" i="1"/>
  <c r="AG96" i="1"/>
  <c r="AF96" i="1"/>
  <c r="AE96" i="1"/>
  <c r="AD96" i="1"/>
  <c r="AC96" i="1"/>
  <c r="AB96" i="1"/>
  <c r="O96" i="1"/>
  <c r="BF96" i="1" s="1"/>
  <c r="L96" i="1"/>
  <c r="M96" i="1" s="1"/>
  <c r="BW91" i="1"/>
  <c r="BJ91" i="1"/>
  <c r="Z91" i="1" s="1"/>
  <c r="BD91" i="1"/>
  <c r="AP91" i="1"/>
  <c r="AX91" i="1" s="1"/>
  <c r="AO91" i="1"/>
  <c r="BH91" i="1" s="1"/>
  <c r="AK91" i="1"/>
  <c r="AJ91" i="1"/>
  <c r="AH91" i="1"/>
  <c r="AG91" i="1"/>
  <c r="AF91" i="1"/>
  <c r="AE91" i="1"/>
  <c r="AD91" i="1"/>
  <c r="AC91" i="1"/>
  <c r="AB91" i="1"/>
  <c r="O91" i="1"/>
  <c r="BF91" i="1" s="1"/>
  <c r="L91" i="1"/>
  <c r="J91" i="1"/>
  <c r="BW89" i="1"/>
  <c r="BJ89" i="1"/>
  <c r="Z89" i="1" s="1"/>
  <c r="BD89" i="1"/>
  <c r="AP89" i="1"/>
  <c r="AO89" i="1"/>
  <c r="BH89" i="1" s="1"/>
  <c r="AK89" i="1"/>
  <c r="AJ89" i="1"/>
  <c r="AH89" i="1"/>
  <c r="AG89" i="1"/>
  <c r="AF89" i="1"/>
  <c r="AE89" i="1"/>
  <c r="AD89" i="1"/>
  <c r="AC89" i="1"/>
  <c r="AB89" i="1"/>
  <c r="O89" i="1"/>
  <c r="L89" i="1"/>
  <c r="BW87" i="1"/>
  <c r="BJ87" i="1"/>
  <c r="Z87" i="1" s="1"/>
  <c r="BD87" i="1"/>
  <c r="AP87" i="1"/>
  <c r="AX87" i="1" s="1"/>
  <c r="AO87" i="1"/>
  <c r="BH87" i="1" s="1"/>
  <c r="AK87" i="1"/>
  <c r="AJ87" i="1"/>
  <c r="AH87" i="1"/>
  <c r="AG87" i="1"/>
  <c r="AF87" i="1"/>
  <c r="AE87" i="1"/>
  <c r="AD87" i="1"/>
  <c r="AC87" i="1"/>
  <c r="AB87" i="1"/>
  <c r="O87" i="1"/>
  <c r="BF87" i="1" s="1"/>
  <c r="L87" i="1"/>
  <c r="BW83" i="1"/>
  <c r="BJ83" i="1"/>
  <c r="BD83" i="1"/>
  <c r="AP83" i="1"/>
  <c r="AX83" i="1" s="1"/>
  <c r="AO83" i="1"/>
  <c r="AK83" i="1"/>
  <c r="AT79" i="1" s="1"/>
  <c r="AJ83" i="1"/>
  <c r="AS79" i="1" s="1"/>
  <c r="AH83" i="1"/>
  <c r="AE83" i="1"/>
  <c r="AD83" i="1"/>
  <c r="AC83" i="1"/>
  <c r="AB83" i="1"/>
  <c r="Z83" i="1"/>
  <c r="O83" i="1"/>
  <c r="O79" i="1" s="1"/>
  <c r="G18" i="2" s="1"/>
  <c r="L83" i="1"/>
  <c r="M83" i="1" s="1"/>
  <c r="BW80" i="1"/>
  <c r="BJ80" i="1"/>
  <c r="BD80" i="1"/>
  <c r="AP80" i="1"/>
  <c r="AX80" i="1" s="1"/>
  <c r="AO80" i="1"/>
  <c r="BH80" i="1" s="1"/>
  <c r="AF80" i="1" s="1"/>
  <c r="AK80" i="1"/>
  <c r="AJ80" i="1"/>
  <c r="AH80" i="1"/>
  <c r="AE80" i="1"/>
  <c r="AD80" i="1"/>
  <c r="AC80" i="1"/>
  <c r="AB80" i="1"/>
  <c r="Z80" i="1"/>
  <c r="O80" i="1"/>
  <c r="BF80" i="1" s="1"/>
  <c r="L80" i="1"/>
  <c r="BW78" i="1"/>
  <c r="BJ78" i="1"/>
  <c r="BD78" i="1"/>
  <c r="AP78" i="1"/>
  <c r="AO78" i="1"/>
  <c r="BH78" i="1" s="1"/>
  <c r="AK78" i="1"/>
  <c r="AJ78" i="1"/>
  <c r="AH78" i="1"/>
  <c r="AG78" i="1"/>
  <c r="AF78" i="1"/>
  <c r="AE78" i="1"/>
  <c r="AD78" i="1"/>
  <c r="AB78" i="1"/>
  <c r="Z78" i="1"/>
  <c r="O78" i="1"/>
  <c r="BF78" i="1" s="1"/>
  <c r="L78" i="1"/>
  <c r="BW76" i="1"/>
  <c r="BJ76" i="1"/>
  <c r="BF76" i="1"/>
  <c r="BD76" i="1"/>
  <c r="AP76" i="1"/>
  <c r="AX76" i="1" s="1"/>
  <c r="AO76" i="1"/>
  <c r="AK76" i="1"/>
  <c r="AJ76" i="1"/>
  <c r="AH76" i="1"/>
  <c r="AG76" i="1"/>
  <c r="AF76" i="1"/>
  <c r="AE76" i="1"/>
  <c r="AD76" i="1"/>
  <c r="Z76" i="1"/>
  <c r="O76" i="1"/>
  <c r="L76" i="1"/>
  <c r="BW73" i="1"/>
  <c r="BJ73" i="1"/>
  <c r="BD73" i="1"/>
  <c r="AP73" i="1"/>
  <c r="AX73" i="1" s="1"/>
  <c r="AO73" i="1"/>
  <c r="AW73" i="1" s="1"/>
  <c r="AK73" i="1"/>
  <c r="AJ73" i="1"/>
  <c r="AH73" i="1"/>
  <c r="AG73" i="1"/>
  <c r="AF73" i="1"/>
  <c r="AE73" i="1"/>
  <c r="AD73" i="1"/>
  <c r="Z73" i="1"/>
  <c r="O73" i="1"/>
  <c r="BF73" i="1" s="1"/>
  <c r="L73" i="1"/>
  <c r="M73" i="1" s="1"/>
  <c r="BW72" i="1"/>
  <c r="BJ72" i="1"/>
  <c r="BF72" i="1"/>
  <c r="BD72" i="1"/>
  <c r="AP72" i="1"/>
  <c r="AO72" i="1"/>
  <c r="AK72" i="1"/>
  <c r="AJ72" i="1"/>
  <c r="AH72" i="1"/>
  <c r="AG72" i="1"/>
  <c r="AF72" i="1"/>
  <c r="AE72" i="1"/>
  <c r="AD72" i="1"/>
  <c r="Z72" i="1"/>
  <c r="O72" i="1"/>
  <c r="L72" i="1"/>
  <c r="K72" i="1"/>
  <c r="BW66" i="1"/>
  <c r="BJ66" i="1"/>
  <c r="BD66" i="1"/>
  <c r="AP66" i="1"/>
  <c r="AX66" i="1" s="1"/>
  <c r="AO66" i="1"/>
  <c r="BH66" i="1" s="1"/>
  <c r="AB66" i="1" s="1"/>
  <c r="AK66" i="1"/>
  <c r="AJ66" i="1"/>
  <c r="AH66" i="1"/>
  <c r="AG66" i="1"/>
  <c r="AF66" i="1"/>
  <c r="AE66" i="1"/>
  <c r="AD66" i="1"/>
  <c r="Z66" i="1"/>
  <c r="O66" i="1"/>
  <c r="L66" i="1"/>
  <c r="BW60" i="1"/>
  <c r="BJ60" i="1"/>
  <c r="BD60" i="1"/>
  <c r="AP60" i="1"/>
  <c r="AX60" i="1" s="1"/>
  <c r="AO60" i="1"/>
  <c r="BH60" i="1" s="1"/>
  <c r="AB60" i="1" s="1"/>
  <c r="AK60" i="1"/>
  <c r="AJ60" i="1"/>
  <c r="AH60" i="1"/>
  <c r="AG60" i="1"/>
  <c r="AF60" i="1"/>
  <c r="AE60" i="1"/>
  <c r="AD60" i="1"/>
  <c r="Z60" i="1"/>
  <c r="O60" i="1"/>
  <c r="BF60" i="1" s="1"/>
  <c r="L60" i="1"/>
  <c r="K60" i="1"/>
  <c r="J60" i="1"/>
  <c r="BW57" i="1"/>
  <c r="BJ57" i="1"/>
  <c r="BD57" i="1"/>
  <c r="AP57" i="1"/>
  <c r="AX57" i="1" s="1"/>
  <c r="AO57" i="1"/>
  <c r="AK57" i="1"/>
  <c r="AT56" i="1" s="1"/>
  <c r="AJ57" i="1"/>
  <c r="AS56" i="1" s="1"/>
  <c r="AH57" i="1"/>
  <c r="AG57" i="1"/>
  <c r="AF57" i="1"/>
  <c r="AE57" i="1"/>
  <c r="AD57" i="1"/>
  <c r="Z57" i="1"/>
  <c r="O57" i="1"/>
  <c r="L57" i="1"/>
  <c r="L56" i="1" s="1"/>
  <c r="F16" i="2" s="1"/>
  <c r="I16" i="2" s="1"/>
  <c r="BW52" i="1"/>
  <c r="BJ52" i="1"/>
  <c r="BF52" i="1"/>
  <c r="BD52" i="1"/>
  <c r="AP52" i="1"/>
  <c r="AX52" i="1" s="1"/>
  <c r="AO52" i="1"/>
  <c r="BH52" i="1" s="1"/>
  <c r="AB52" i="1" s="1"/>
  <c r="AK52" i="1"/>
  <c r="AT51" i="1" s="1"/>
  <c r="AJ52" i="1"/>
  <c r="AS51" i="1" s="1"/>
  <c r="AH52" i="1"/>
  <c r="AG52" i="1"/>
  <c r="AF52" i="1"/>
  <c r="AE52" i="1"/>
  <c r="AD52" i="1"/>
  <c r="Z52" i="1"/>
  <c r="O52" i="1"/>
  <c r="L52" i="1"/>
  <c r="L51" i="1" s="1"/>
  <c r="F15" i="2" s="1"/>
  <c r="I15" i="2" s="1"/>
  <c r="O51" i="1"/>
  <c r="G15" i="2" s="1"/>
  <c r="BW49" i="1"/>
  <c r="BJ49" i="1"/>
  <c r="BD49" i="1"/>
  <c r="AP49" i="1"/>
  <c r="AX49" i="1" s="1"/>
  <c r="AO49" i="1"/>
  <c r="BH49" i="1" s="1"/>
  <c r="AB49" i="1" s="1"/>
  <c r="AK49" i="1"/>
  <c r="AJ49" i="1"/>
  <c r="AH49" i="1"/>
  <c r="AG49" i="1"/>
  <c r="AF49" i="1"/>
  <c r="AE49" i="1"/>
  <c r="AD49" i="1"/>
  <c r="Z49" i="1"/>
  <c r="O49" i="1"/>
  <c r="O44" i="1" s="1"/>
  <c r="G14" i="2" s="1"/>
  <c r="L49" i="1"/>
  <c r="BW45" i="1"/>
  <c r="BJ45" i="1"/>
  <c r="BF45" i="1"/>
  <c r="BD45" i="1"/>
  <c r="AP45" i="1"/>
  <c r="AX45" i="1" s="1"/>
  <c r="AO45" i="1"/>
  <c r="BH45" i="1" s="1"/>
  <c r="AK45" i="1"/>
  <c r="AJ45" i="1"/>
  <c r="AS44" i="1" s="1"/>
  <c r="AH45" i="1"/>
  <c r="AG45" i="1"/>
  <c r="AF45" i="1"/>
  <c r="AE45" i="1"/>
  <c r="AD45" i="1"/>
  <c r="AB45" i="1"/>
  <c r="Z45" i="1"/>
  <c r="O45" i="1"/>
  <c r="L45" i="1"/>
  <c r="J45" i="1"/>
  <c r="BW40" i="1"/>
  <c r="BJ40" i="1"/>
  <c r="BD40" i="1"/>
  <c r="AP40" i="1"/>
  <c r="AO40" i="1"/>
  <c r="BH40" i="1" s="1"/>
  <c r="AB40" i="1" s="1"/>
  <c r="AK40" i="1"/>
  <c r="AJ40" i="1"/>
  <c r="AH40" i="1"/>
  <c r="AG40" i="1"/>
  <c r="AF40" i="1"/>
  <c r="AE40" i="1"/>
  <c r="AD40" i="1"/>
  <c r="Z40" i="1"/>
  <c r="O40" i="1"/>
  <c r="L40" i="1"/>
  <c r="K40" i="1"/>
  <c r="BW36" i="1"/>
  <c r="BJ36" i="1"/>
  <c r="BF36" i="1"/>
  <c r="BD36" i="1"/>
  <c r="AP36" i="1"/>
  <c r="AO36" i="1"/>
  <c r="AK36" i="1"/>
  <c r="AJ36" i="1"/>
  <c r="AH36" i="1"/>
  <c r="AG36" i="1"/>
  <c r="AF36" i="1"/>
  <c r="AE36" i="1"/>
  <c r="AD36" i="1"/>
  <c r="Z36" i="1"/>
  <c r="O36" i="1"/>
  <c r="L36" i="1"/>
  <c r="L35" i="1" s="1"/>
  <c r="F13" i="2" s="1"/>
  <c r="I13" i="2" s="1"/>
  <c r="AT35" i="1"/>
  <c r="BW33" i="1"/>
  <c r="BJ33" i="1"/>
  <c r="BD33" i="1"/>
  <c r="AW33" i="1"/>
  <c r="AP33" i="1"/>
  <c r="AX33" i="1" s="1"/>
  <c r="AO33" i="1"/>
  <c r="BH33" i="1" s="1"/>
  <c r="AK33" i="1"/>
  <c r="AJ33" i="1"/>
  <c r="AH33" i="1"/>
  <c r="AG33" i="1"/>
  <c r="AF33" i="1"/>
  <c r="AE33" i="1"/>
  <c r="AD33" i="1"/>
  <c r="AB33" i="1"/>
  <c r="Z33" i="1"/>
  <c r="O33" i="1"/>
  <c r="BF33" i="1" s="1"/>
  <c r="L33" i="1"/>
  <c r="J33" i="1"/>
  <c r="BW29" i="1"/>
  <c r="BJ29" i="1"/>
  <c r="BD29" i="1"/>
  <c r="AP29" i="1"/>
  <c r="AX29" i="1" s="1"/>
  <c r="AO29" i="1"/>
  <c r="BH29" i="1" s="1"/>
  <c r="AK29" i="1"/>
  <c r="AJ29" i="1"/>
  <c r="AH29" i="1"/>
  <c r="AG29" i="1"/>
  <c r="AF29" i="1"/>
  <c r="AE29" i="1"/>
  <c r="AD29" i="1"/>
  <c r="AB29" i="1"/>
  <c r="Z29" i="1"/>
  <c r="O29" i="1"/>
  <c r="BF29" i="1" s="1"/>
  <c r="L29" i="1"/>
  <c r="J29" i="1"/>
  <c r="BW27" i="1"/>
  <c r="BJ27" i="1"/>
  <c r="BD27" i="1"/>
  <c r="AP27" i="1"/>
  <c r="AX27" i="1" s="1"/>
  <c r="AO27" i="1"/>
  <c r="BH27" i="1" s="1"/>
  <c r="AB27" i="1" s="1"/>
  <c r="AK27" i="1"/>
  <c r="AJ27" i="1"/>
  <c r="AH27" i="1"/>
  <c r="AG27" i="1"/>
  <c r="AF27" i="1"/>
  <c r="AE27" i="1"/>
  <c r="AD27" i="1"/>
  <c r="Z27" i="1"/>
  <c r="O27" i="1"/>
  <c r="BF27" i="1" s="1"/>
  <c r="L27" i="1"/>
  <c r="AL27" i="1" s="1"/>
  <c r="BW24" i="1"/>
  <c r="BJ24" i="1"/>
  <c r="BF24" i="1"/>
  <c r="BD24" i="1"/>
  <c r="AP24" i="1"/>
  <c r="AO24" i="1"/>
  <c r="AW24" i="1" s="1"/>
  <c r="AK24" i="1"/>
  <c r="AJ24" i="1"/>
  <c r="AH24" i="1"/>
  <c r="AG24" i="1"/>
  <c r="AF24" i="1"/>
  <c r="AE24" i="1"/>
  <c r="AD24" i="1"/>
  <c r="Z24" i="1"/>
  <c r="O24" i="1"/>
  <c r="L24" i="1"/>
  <c r="AL24" i="1" s="1"/>
  <c r="BW21" i="1"/>
  <c r="BJ21" i="1"/>
  <c r="BD21" i="1"/>
  <c r="AP21" i="1"/>
  <c r="BI21" i="1" s="1"/>
  <c r="AC21" i="1" s="1"/>
  <c r="AO21" i="1"/>
  <c r="BH21" i="1" s="1"/>
  <c r="AB21" i="1" s="1"/>
  <c r="AK21" i="1"/>
  <c r="AJ21" i="1"/>
  <c r="AH21" i="1"/>
  <c r="AG21" i="1"/>
  <c r="AF21" i="1"/>
  <c r="AE21" i="1"/>
  <c r="AD21" i="1"/>
  <c r="Z21" i="1"/>
  <c r="O21" i="1"/>
  <c r="BF21" i="1" s="1"/>
  <c r="L21" i="1"/>
  <c r="AL21" i="1" s="1"/>
  <c r="BW18" i="1"/>
  <c r="BJ18" i="1"/>
  <c r="BD18" i="1"/>
  <c r="AP18" i="1"/>
  <c r="BI18" i="1" s="1"/>
  <c r="AC18" i="1" s="1"/>
  <c r="AO18" i="1"/>
  <c r="AW18" i="1" s="1"/>
  <c r="AK18" i="1"/>
  <c r="AJ18" i="1"/>
  <c r="AH18" i="1"/>
  <c r="AG18" i="1"/>
  <c r="AF18" i="1"/>
  <c r="AE18" i="1"/>
  <c r="AD18" i="1"/>
  <c r="Z18" i="1"/>
  <c r="O18" i="1"/>
  <c r="BF18" i="1" s="1"/>
  <c r="L18" i="1"/>
  <c r="J18" i="1"/>
  <c r="BW16" i="1"/>
  <c r="BJ16" i="1"/>
  <c r="BD16" i="1"/>
  <c r="AP16" i="1"/>
  <c r="AX16" i="1" s="1"/>
  <c r="AO16" i="1"/>
  <c r="AW16" i="1" s="1"/>
  <c r="AK16" i="1"/>
  <c r="AJ16" i="1"/>
  <c r="AH16" i="1"/>
  <c r="AG16" i="1"/>
  <c r="AF16" i="1"/>
  <c r="AE16" i="1"/>
  <c r="AD16" i="1"/>
  <c r="Z16" i="1"/>
  <c r="O16" i="1"/>
  <c r="BF16" i="1" s="1"/>
  <c r="L16" i="1"/>
  <c r="AL16" i="1" s="1"/>
  <c r="K16" i="1"/>
  <c r="BW14" i="1"/>
  <c r="BJ14" i="1"/>
  <c r="BD14" i="1"/>
  <c r="AP14" i="1"/>
  <c r="AO14" i="1"/>
  <c r="AW14" i="1" s="1"/>
  <c r="AK14" i="1"/>
  <c r="AJ14" i="1"/>
  <c r="AH14" i="1"/>
  <c r="AG14" i="1"/>
  <c r="AF14" i="1"/>
  <c r="AE14" i="1"/>
  <c r="AD14" i="1"/>
  <c r="Z14" i="1"/>
  <c r="O14" i="1"/>
  <c r="BF14" i="1" s="1"/>
  <c r="L14" i="1"/>
  <c r="AU1" i="1"/>
  <c r="AT1" i="1"/>
  <c r="AS1" i="1"/>
  <c r="J165" i="1" l="1"/>
  <c r="AW353" i="1"/>
  <c r="M368" i="1"/>
  <c r="M226" i="1"/>
  <c r="AX18" i="1"/>
  <c r="AS35" i="1"/>
  <c r="AT44" i="1"/>
  <c r="J66" i="1"/>
  <c r="AW89" i="1"/>
  <c r="BC89" i="1" s="1"/>
  <c r="AW96" i="1"/>
  <c r="M121" i="1"/>
  <c r="M116" i="1" s="1"/>
  <c r="AW165" i="1"/>
  <c r="AL174" i="1"/>
  <c r="BH208" i="1"/>
  <c r="BC230" i="1"/>
  <c r="M311" i="1"/>
  <c r="L347" i="1"/>
  <c r="F45" i="2" s="1"/>
  <c r="I45" i="2" s="1"/>
  <c r="AX353" i="1"/>
  <c r="AV353" i="1" s="1"/>
  <c r="K370" i="1"/>
  <c r="AV117" i="1"/>
  <c r="BI52" i="1"/>
  <c r="AC52" i="1" s="1"/>
  <c r="BH117" i="1"/>
  <c r="AB117" i="1" s="1"/>
  <c r="L123" i="1"/>
  <c r="F23" i="2" s="1"/>
  <c r="I23" i="2" s="1"/>
  <c r="BI208" i="1"/>
  <c r="AS214" i="1"/>
  <c r="AL266" i="1"/>
  <c r="AU265" i="1" s="1"/>
  <c r="L312" i="1"/>
  <c r="F42" i="2" s="1"/>
  <c r="I42" i="2" s="1"/>
  <c r="M361" i="1"/>
  <c r="M360" i="1" s="1"/>
  <c r="K18" i="1"/>
  <c r="AV96" i="1"/>
  <c r="AS59" i="1"/>
  <c r="AS86" i="1"/>
  <c r="BI117" i="1"/>
  <c r="AC117" i="1" s="1"/>
  <c r="AS116" i="1"/>
  <c r="AX130" i="1"/>
  <c r="AV130" i="1" s="1"/>
  <c r="AS159" i="1"/>
  <c r="AT284" i="1"/>
  <c r="J348" i="1"/>
  <c r="J347" i="1" s="1"/>
  <c r="D45" i="2" s="1"/>
  <c r="AX370" i="1"/>
  <c r="AX378" i="1"/>
  <c r="AS13" i="1"/>
  <c r="AT116" i="1"/>
  <c r="AT352" i="1"/>
  <c r="AL119" i="1"/>
  <c r="J145" i="1"/>
  <c r="L209" i="1"/>
  <c r="F32" i="2" s="1"/>
  <c r="L241" i="1"/>
  <c r="F38" i="2" s="1"/>
  <c r="I38" i="2" s="1"/>
  <c r="AS267" i="1"/>
  <c r="J283" i="1"/>
  <c r="AX304" i="1"/>
  <c r="J345" i="1"/>
  <c r="J344" i="1" s="1"/>
  <c r="D44" i="2" s="1"/>
  <c r="J355" i="1"/>
  <c r="J352" i="1" s="1"/>
  <c r="D46" i="2" s="1"/>
  <c r="AL200" i="1"/>
  <c r="AU196" i="1" s="1"/>
  <c r="AL211" i="1"/>
  <c r="AU210" i="1" s="1"/>
  <c r="AT267" i="1"/>
  <c r="AT102" i="1"/>
  <c r="AW78" i="1"/>
  <c r="AW184" i="1"/>
  <c r="L207" i="1"/>
  <c r="F31" i="2" s="1"/>
  <c r="I31" i="2" s="1"/>
  <c r="BI218" i="1"/>
  <c r="AC218" i="1" s="1"/>
  <c r="AL306" i="1"/>
  <c r="AW342" i="1"/>
  <c r="AV342" i="1" s="1"/>
  <c r="AW345" i="1"/>
  <c r="AW355" i="1"/>
  <c r="J372" i="1"/>
  <c r="K135" i="1"/>
  <c r="AX242" i="1"/>
  <c r="AX268" i="1"/>
  <c r="BC268" i="1" s="1"/>
  <c r="AX278" i="1"/>
  <c r="AL302" i="1"/>
  <c r="J89" i="1"/>
  <c r="J96" i="1"/>
  <c r="AL140" i="1"/>
  <c r="L219" i="1"/>
  <c r="F36" i="2" s="1"/>
  <c r="I36" i="2" s="1"/>
  <c r="K353" i="1"/>
  <c r="K352" i="1" s="1"/>
  <c r="E46" i="2" s="1"/>
  <c r="M372" i="1"/>
  <c r="M384" i="1"/>
  <c r="K389" i="1"/>
  <c r="J392" i="1"/>
  <c r="AX386" i="1"/>
  <c r="AV386" i="1" s="1"/>
  <c r="AW395" i="1"/>
  <c r="K391" i="1"/>
  <c r="M390" i="1"/>
  <c r="K386" i="1"/>
  <c r="BH98" i="1"/>
  <c r="J98" i="1"/>
  <c r="K119" i="1"/>
  <c r="AW220" i="1"/>
  <c r="M21" i="1"/>
  <c r="J24" i="1"/>
  <c r="L44" i="1"/>
  <c r="F14" i="2" s="1"/>
  <c r="I14" i="2" s="1"/>
  <c r="BI80" i="1"/>
  <c r="AG80" i="1" s="1"/>
  <c r="L102" i="1"/>
  <c r="F21" i="2" s="1"/>
  <c r="I21" i="2" s="1"/>
  <c r="J108" i="1"/>
  <c r="O210" i="1"/>
  <c r="J220" i="1"/>
  <c r="J219" i="1" s="1"/>
  <c r="D36" i="2" s="1"/>
  <c r="AX220" i="1"/>
  <c r="AW223" i="1"/>
  <c r="J223" i="1"/>
  <c r="AS222" i="1"/>
  <c r="M345" i="1"/>
  <c r="M344" i="1" s="1"/>
  <c r="AL345" i="1"/>
  <c r="AU344" i="1" s="1"/>
  <c r="L344" i="1"/>
  <c r="F44" i="2" s="1"/>
  <c r="I44" i="2" s="1"/>
  <c r="K390" i="1"/>
  <c r="AW390" i="1"/>
  <c r="AV390" i="1" s="1"/>
  <c r="M24" i="1"/>
  <c r="J49" i="1"/>
  <c r="J44" i="1" s="1"/>
  <c r="D14" i="2" s="1"/>
  <c r="J80" i="1"/>
  <c r="J79" i="1" s="1"/>
  <c r="D18" i="2" s="1"/>
  <c r="M103" i="1"/>
  <c r="AL103" i="1"/>
  <c r="K108" i="1"/>
  <c r="BH108" i="1"/>
  <c r="AB108" i="1" s="1"/>
  <c r="AX111" i="1"/>
  <c r="AL113" i="1"/>
  <c r="AX124" i="1"/>
  <c r="BC124" i="1" s="1"/>
  <c r="AW205" i="1"/>
  <c r="K220" i="1"/>
  <c r="K219" i="1" s="1"/>
  <c r="E36" i="2" s="1"/>
  <c r="AX223" i="1"/>
  <c r="K223" i="1"/>
  <c r="BF345" i="1"/>
  <c r="O344" i="1"/>
  <c r="G44" i="2" s="1"/>
  <c r="BI348" i="1"/>
  <c r="AC348" i="1" s="1"/>
  <c r="K348" i="1"/>
  <c r="K347" i="1" s="1"/>
  <c r="E45" i="2" s="1"/>
  <c r="M359" i="1"/>
  <c r="M358" i="1" s="1"/>
  <c r="L358" i="1"/>
  <c r="F47" i="2" s="1"/>
  <c r="I47" i="2" s="1"/>
  <c r="AL359" i="1"/>
  <c r="AU358" i="1" s="1"/>
  <c r="AW370" i="1"/>
  <c r="BC370" i="1" s="1"/>
  <c r="AX390" i="1"/>
  <c r="M130" i="1"/>
  <c r="AL130" i="1"/>
  <c r="M14" i="1"/>
  <c r="L13" i="1"/>
  <c r="AX140" i="1"/>
  <c r="BI237" i="1"/>
  <c r="AC237" i="1" s="1"/>
  <c r="AX237" i="1"/>
  <c r="K237" i="1"/>
  <c r="BH301" i="1"/>
  <c r="AD301" i="1" s="1"/>
  <c r="J301" i="1"/>
  <c r="AX119" i="1"/>
  <c r="AV119" i="1" s="1"/>
  <c r="AX174" i="1"/>
  <c r="M192" i="1"/>
  <c r="M191" i="1" s="1"/>
  <c r="AL192" i="1"/>
  <c r="AU191" i="1" s="1"/>
  <c r="L191" i="1"/>
  <c r="F28" i="2" s="1"/>
  <c r="I28" i="2" s="1"/>
  <c r="AW313" i="1"/>
  <c r="BH313" i="1"/>
  <c r="AD313" i="1" s="1"/>
  <c r="J313" i="1"/>
  <c r="J312" i="1" s="1"/>
  <c r="D42" i="2" s="1"/>
  <c r="M342" i="1"/>
  <c r="AL342" i="1"/>
  <c r="J366" i="1"/>
  <c r="AW366" i="1"/>
  <c r="BC366" i="1" s="1"/>
  <c r="J376" i="1"/>
  <c r="AW376" i="1"/>
  <c r="M66" i="1"/>
  <c r="AL172" i="1"/>
  <c r="M172" i="1"/>
  <c r="K174" i="1"/>
  <c r="AV345" i="1"/>
  <c r="J285" i="1"/>
  <c r="J390" i="1"/>
  <c r="K80" i="1"/>
  <c r="BH57" i="1"/>
  <c r="AB57" i="1" s="1"/>
  <c r="J57" i="1"/>
  <c r="J56" i="1" s="1"/>
  <c r="D16" i="2" s="1"/>
  <c r="AW57" i="1"/>
  <c r="AX89" i="1"/>
  <c r="AV89" i="1" s="1"/>
  <c r="K89" i="1"/>
  <c r="M108" i="1"/>
  <c r="BI111" i="1"/>
  <c r="AC111" i="1" s="1"/>
  <c r="BH127" i="1"/>
  <c r="AB127" i="1" s="1"/>
  <c r="J127" i="1"/>
  <c r="J126" i="1" s="1"/>
  <c r="D24" i="2" s="1"/>
  <c r="AW127" i="1"/>
  <c r="J205" i="1"/>
  <c r="J204" i="1" s="1"/>
  <c r="D30" i="2" s="1"/>
  <c r="BI226" i="1"/>
  <c r="AC226" i="1" s="1"/>
  <c r="AX226" i="1"/>
  <c r="AV226" i="1" s="1"/>
  <c r="K226" i="1"/>
  <c r="M337" i="1"/>
  <c r="L336" i="1"/>
  <c r="F43" i="2" s="1"/>
  <c r="I43" i="2" s="1"/>
  <c r="K205" i="1"/>
  <c r="K204" i="1" s="1"/>
  <c r="E30" i="2" s="1"/>
  <c r="BI215" i="1"/>
  <c r="AC215" i="1" s="1"/>
  <c r="K215" i="1"/>
  <c r="K214" i="1" s="1"/>
  <c r="K273" i="1"/>
  <c r="AX276" i="1"/>
  <c r="K276" i="1"/>
  <c r="BH309" i="1"/>
  <c r="AD309" i="1" s="1"/>
  <c r="J309" i="1"/>
  <c r="J339" i="1"/>
  <c r="M370" i="1"/>
  <c r="AL370" i="1"/>
  <c r="F37" i="4"/>
  <c r="I37" i="4" s="1"/>
  <c r="I45" i="4" s="1"/>
  <c r="I24" i="3" s="1"/>
  <c r="AW388" i="1"/>
  <c r="J388" i="1"/>
  <c r="AX78" i="1"/>
  <c r="AV78" i="1" s="1"/>
  <c r="BI78" i="1"/>
  <c r="AC78" i="1" s="1"/>
  <c r="M341" i="1"/>
  <c r="M16" i="1"/>
  <c r="AW21" i="1"/>
  <c r="J119" i="1"/>
  <c r="AW153" i="1"/>
  <c r="J153" i="1"/>
  <c r="AL232" i="1"/>
  <c r="M232" i="1"/>
  <c r="M135" i="1"/>
  <c r="BI177" i="1"/>
  <c r="AC177" i="1" s="1"/>
  <c r="K177" i="1"/>
  <c r="AX24" i="1"/>
  <c r="AV24" i="1" s="1"/>
  <c r="BI24" i="1"/>
  <c r="AC24" i="1" s="1"/>
  <c r="K24" i="1"/>
  <c r="J266" i="1"/>
  <c r="J265" i="1" s="1"/>
  <c r="D39" i="2" s="1"/>
  <c r="J124" i="1"/>
  <c r="J123" i="1" s="1"/>
  <c r="D23" i="2" s="1"/>
  <c r="M239" i="1"/>
  <c r="AL239" i="1"/>
  <c r="AL268" i="1"/>
  <c r="M268" i="1"/>
  <c r="BI113" i="1"/>
  <c r="AC113" i="1" s="1"/>
  <c r="K113" i="1"/>
  <c r="AX113" i="1"/>
  <c r="K124" i="1"/>
  <c r="K123" i="1" s="1"/>
  <c r="E23" i="2" s="1"/>
  <c r="AX186" i="1"/>
  <c r="BC186" i="1" s="1"/>
  <c r="L86" i="1"/>
  <c r="F19" i="2" s="1"/>
  <c r="I19" i="2" s="1"/>
  <c r="O159" i="1"/>
  <c r="G26" i="2" s="1"/>
  <c r="BH242" i="1"/>
  <c r="AB242" i="1" s="1"/>
  <c r="AW242" i="1"/>
  <c r="AV242" i="1" s="1"/>
  <c r="J242" i="1"/>
  <c r="J241" i="1" s="1"/>
  <c r="D38" i="2" s="1"/>
  <c r="M271" i="1"/>
  <c r="AW275" i="1"/>
  <c r="AV275" i="1" s="1"/>
  <c r="BH278" i="1"/>
  <c r="AD278" i="1" s="1"/>
  <c r="AW278" i="1"/>
  <c r="AV278" i="1" s="1"/>
  <c r="AT13" i="1"/>
  <c r="J52" i="1"/>
  <c r="J51" i="1" s="1"/>
  <c r="D15" i="2" s="1"/>
  <c r="M124" i="1"/>
  <c r="M123" i="1" s="1"/>
  <c r="BI165" i="1"/>
  <c r="AC165" i="1" s="1"/>
  <c r="K165" i="1"/>
  <c r="AW166" i="1"/>
  <c r="J166" i="1"/>
  <c r="K186" i="1"/>
  <c r="AW215" i="1"/>
  <c r="AW218" i="1"/>
  <c r="J218" i="1"/>
  <c r="M273" i="1"/>
  <c r="J275" i="1"/>
  <c r="AX275" i="1"/>
  <c r="AW280" i="1"/>
  <c r="J280" i="1"/>
  <c r="BI309" i="1"/>
  <c r="AE309" i="1" s="1"/>
  <c r="AX309" i="1"/>
  <c r="BI340" i="1"/>
  <c r="AC340" i="1" s="1"/>
  <c r="AX340" i="1"/>
  <c r="AV340" i="1" s="1"/>
  <c r="K340" i="1"/>
  <c r="BI372" i="1"/>
  <c r="K372" i="1"/>
  <c r="BI388" i="1"/>
  <c r="K388" i="1"/>
  <c r="AX388" i="1"/>
  <c r="BI14" i="1"/>
  <c r="AC14" i="1" s="1"/>
  <c r="K14" i="1"/>
  <c r="AX14" i="1"/>
  <c r="AV14" i="1" s="1"/>
  <c r="BH36" i="1"/>
  <c r="AB36" i="1" s="1"/>
  <c r="J36" i="1"/>
  <c r="AT59" i="1"/>
  <c r="AS129" i="1"/>
  <c r="K160" i="1"/>
  <c r="M186" i="1"/>
  <c r="AS196" i="1"/>
  <c r="AX215" i="1"/>
  <c r="BC215" i="1" s="1"/>
  <c r="K275" i="1"/>
  <c r="M304" i="1"/>
  <c r="J306" i="1"/>
  <c r="AW309" i="1"/>
  <c r="BC309" i="1" s="1"/>
  <c r="AL339" i="1"/>
  <c r="M339" i="1"/>
  <c r="BC353" i="1"/>
  <c r="AW365" i="1"/>
  <c r="J385" i="1"/>
  <c r="AW174" i="1"/>
  <c r="J174" i="1"/>
  <c r="BH268" i="1"/>
  <c r="AD268" i="1" s="1"/>
  <c r="J268" i="1"/>
  <c r="AX285" i="1"/>
  <c r="K285" i="1"/>
  <c r="J21" i="1"/>
  <c r="M236" i="1"/>
  <c r="BH378" i="1"/>
  <c r="AW378" i="1"/>
  <c r="BC378" i="1" s="1"/>
  <c r="J378" i="1"/>
  <c r="BI392" i="1"/>
  <c r="AW268" i="1"/>
  <c r="AX36" i="1"/>
  <c r="BI36" i="1"/>
  <c r="AC36" i="1" s="1"/>
  <c r="AS171" i="1"/>
  <c r="AT196" i="1"/>
  <c r="J215" i="1"/>
  <c r="J214" i="1" s="1"/>
  <c r="AL236" i="1"/>
  <c r="K306" i="1"/>
  <c r="M363" i="1"/>
  <c r="AL363" i="1"/>
  <c r="L362" i="1"/>
  <c r="F49" i="2" s="1"/>
  <c r="I49" i="2" s="1"/>
  <c r="K365" i="1"/>
  <c r="AW385" i="1"/>
  <c r="BC385" i="1" s="1"/>
  <c r="M374" i="1"/>
  <c r="AL374" i="1"/>
  <c r="M18" i="1"/>
  <c r="M283" i="1"/>
  <c r="BH393" i="1"/>
  <c r="AW393" i="1"/>
  <c r="J393" i="1"/>
  <c r="K266" i="1"/>
  <c r="K265" i="1" s="1"/>
  <c r="E39" i="2" s="1"/>
  <c r="J370" i="1"/>
  <c r="J362" i="1" s="1"/>
  <c r="D49" i="2" s="1"/>
  <c r="AT129" i="1"/>
  <c r="AW276" i="1"/>
  <c r="BC276" i="1" s="1"/>
  <c r="J276" i="1"/>
  <c r="AV66" i="1"/>
  <c r="BH72" i="1"/>
  <c r="AB72" i="1" s="1"/>
  <c r="J72" i="1"/>
  <c r="BH73" i="1"/>
  <c r="AB73" i="1" s="1"/>
  <c r="J73" i="1"/>
  <c r="BH76" i="1"/>
  <c r="AB76" i="1" s="1"/>
  <c r="J76" i="1"/>
  <c r="BF130" i="1"/>
  <c r="AL189" i="1"/>
  <c r="M189" i="1"/>
  <c r="AX192" i="1"/>
  <c r="BH197" i="1"/>
  <c r="AD197" i="1" s="1"/>
  <c r="J197" i="1"/>
  <c r="J196" i="1" s="1"/>
  <c r="D29" i="2" s="1"/>
  <c r="AW197" i="1"/>
  <c r="BC197" i="1" s="1"/>
  <c r="O222" i="1"/>
  <c r="G37" i="2" s="1"/>
  <c r="AW236" i="1"/>
  <c r="BC236" i="1" s="1"/>
  <c r="J236" i="1"/>
  <c r="O362" i="1"/>
  <c r="G49" i="2" s="1"/>
  <c r="M391" i="1"/>
  <c r="AL117" i="1"/>
  <c r="L116" i="1"/>
  <c r="BI343" i="1"/>
  <c r="AC343" i="1" s="1"/>
  <c r="K343" i="1"/>
  <c r="BI145" i="1"/>
  <c r="AC145" i="1" s="1"/>
  <c r="K145" i="1"/>
  <c r="BH83" i="1"/>
  <c r="AF83" i="1" s="1"/>
  <c r="J83" i="1"/>
  <c r="BI96" i="1"/>
  <c r="K140" i="1"/>
  <c r="AW179" i="1"/>
  <c r="BC179" i="1" s="1"/>
  <c r="J179" i="1"/>
  <c r="AW301" i="1"/>
  <c r="AV301" i="1" s="1"/>
  <c r="K376" i="1"/>
  <c r="K392" i="1"/>
  <c r="K21" i="1"/>
  <c r="AW49" i="1"/>
  <c r="BC49" i="1" s="1"/>
  <c r="AW83" i="1"/>
  <c r="BC83" i="1" s="1"/>
  <c r="AX108" i="1"/>
  <c r="BF103" i="1"/>
  <c r="O102" i="1"/>
  <c r="K156" i="1"/>
  <c r="AW160" i="1"/>
  <c r="J160" i="1"/>
  <c r="BH189" i="1"/>
  <c r="AB189" i="1" s="1"/>
  <c r="J189" i="1"/>
  <c r="M156" i="1"/>
  <c r="AX160" i="1"/>
  <c r="AX40" i="1"/>
  <c r="BI40" i="1"/>
  <c r="AC40" i="1" s="1"/>
  <c r="BF57" i="1"/>
  <c r="O56" i="1"/>
  <c r="G16" i="2" s="1"/>
  <c r="AW66" i="1"/>
  <c r="BC66" i="1" s="1"/>
  <c r="AX72" i="1"/>
  <c r="BI72" i="1"/>
  <c r="AC72" i="1" s="1"/>
  <c r="K91" i="1"/>
  <c r="BI91" i="1"/>
  <c r="K116" i="1"/>
  <c r="E22" i="2" s="1"/>
  <c r="AW135" i="1"/>
  <c r="AW140" i="1"/>
  <c r="BC140" i="1" s="1"/>
  <c r="J140" i="1"/>
  <c r="J129" i="1" s="1"/>
  <c r="D25" i="2" s="1"/>
  <c r="BI197" i="1"/>
  <c r="AE197" i="1" s="1"/>
  <c r="K197" i="1"/>
  <c r="BF208" i="1"/>
  <c r="O207" i="1"/>
  <c r="G31" i="2" s="1"/>
  <c r="BH218" i="1"/>
  <c r="AB218" i="1" s="1"/>
  <c r="AX232" i="1"/>
  <c r="AV232" i="1" s="1"/>
  <c r="J278" i="1"/>
  <c r="AS284" i="1"/>
  <c r="K309" i="1"/>
  <c r="BC342" i="1"/>
  <c r="M353" i="1"/>
  <c r="L352" i="1"/>
  <c r="F46" i="2" s="1"/>
  <c r="I46" i="2" s="1"/>
  <c r="AL353" i="1"/>
  <c r="AU352" i="1" s="1"/>
  <c r="BH365" i="1"/>
  <c r="K395" i="1"/>
  <c r="C20" i="3"/>
  <c r="O59" i="1"/>
  <c r="G17" i="2" s="1"/>
  <c r="AV73" i="1"/>
  <c r="M111" i="1"/>
  <c r="M220" i="1"/>
  <c r="M219" i="1" s="1"/>
  <c r="O267" i="1"/>
  <c r="G40" i="2" s="1"/>
  <c r="M365" i="1"/>
  <c r="M376" i="1"/>
  <c r="K393" i="1"/>
  <c r="AT383" i="1"/>
  <c r="AX393" i="1"/>
  <c r="AT159" i="1"/>
  <c r="AT222" i="1"/>
  <c r="AV366" i="1"/>
  <c r="AV378" i="1"/>
  <c r="M385" i="1"/>
  <c r="M388" i="1"/>
  <c r="J40" i="1"/>
  <c r="AW40" i="1"/>
  <c r="BI73" i="1"/>
  <c r="AC73" i="1" s="1"/>
  <c r="J87" i="1"/>
  <c r="J86" i="1" s="1"/>
  <c r="D19" i="2" s="1"/>
  <c r="O171" i="1"/>
  <c r="G27" i="2" s="1"/>
  <c r="K189" i="1"/>
  <c r="AX200" i="1"/>
  <c r="BC200" i="1" s="1"/>
  <c r="K236" i="1"/>
  <c r="K268" i="1"/>
  <c r="AV270" i="1"/>
  <c r="K301" i="1"/>
  <c r="M309" i="1"/>
  <c r="K313" i="1"/>
  <c r="K312" i="1" s="1"/>
  <c r="E42" i="2" s="1"/>
  <c r="K361" i="1"/>
  <c r="K360" i="1" s="1"/>
  <c r="E48" i="2" s="1"/>
  <c r="M366" i="1"/>
  <c r="M378" i="1"/>
  <c r="J386" i="1"/>
  <c r="J396" i="1"/>
  <c r="AX396" i="1"/>
  <c r="BC396" i="1" s="1"/>
  <c r="J27" i="1"/>
  <c r="BC57" i="1"/>
  <c r="K200" i="1"/>
  <c r="K278" i="1"/>
  <c r="AV280" i="1"/>
  <c r="M301" i="1"/>
  <c r="M386" i="1"/>
  <c r="BC391" i="1"/>
  <c r="M393" i="1"/>
  <c r="AW27" i="1"/>
  <c r="AV27" i="1" s="1"/>
  <c r="AX103" i="1"/>
  <c r="BC103" i="1" s="1"/>
  <c r="AS102" i="1"/>
  <c r="K127" i="1"/>
  <c r="K126" i="1" s="1"/>
  <c r="E24" i="2" s="1"/>
  <c r="AX153" i="1"/>
  <c r="AX166" i="1"/>
  <c r="AX179" i="1"/>
  <c r="J208" i="1"/>
  <c r="J207" i="1" s="1"/>
  <c r="D31" i="2" s="1"/>
  <c r="J211" i="1"/>
  <c r="J210" i="1" s="1"/>
  <c r="M242" i="1"/>
  <c r="M241" i="1" s="1"/>
  <c r="J270" i="1"/>
  <c r="J311" i="1"/>
  <c r="M348" i="1"/>
  <c r="M347" i="1" s="1"/>
  <c r="J368" i="1"/>
  <c r="AW368" i="1"/>
  <c r="AW384" i="1"/>
  <c r="BC384" i="1" s="1"/>
  <c r="AS383" i="1"/>
  <c r="J394" i="1"/>
  <c r="AT336" i="1"/>
  <c r="O284" i="1"/>
  <c r="G41" i="2" s="1"/>
  <c r="J14" i="1"/>
  <c r="M27" i="1"/>
  <c r="L59" i="1"/>
  <c r="F17" i="2" s="1"/>
  <c r="I17" i="2" s="1"/>
  <c r="J78" i="1"/>
  <c r="M89" i="1"/>
  <c r="K153" i="1"/>
  <c r="K166" i="1"/>
  <c r="K179" i="1"/>
  <c r="O196" i="1"/>
  <c r="G29" i="2" s="1"/>
  <c r="K208" i="1"/>
  <c r="K207" i="1" s="1"/>
  <c r="E31" i="2" s="1"/>
  <c r="K211" i="1"/>
  <c r="K210" i="1" s="1"/>
  <c r="AX211" i="1"/>
  <c r="BC211" i="1" s="1"/>
  <c r="BC239" i="1"/>
  <c r="K270" i="1"/>
  <c r="K267" i="1" s="1"/>
  <c r="E40" i="2" s="1"/>
  <c r="AW271" i="1"/>
  <c r="AV271" i="1" s="1"/>
  <c r="M278" i="1"/>
  <c r="K302" i="1"/>
  <c r="K311" i="1"/>
  <c r="AW311" i="1"/>
  <c r="AV311" i="1" s="1"/>
  <c r="J363" i="1"/>
  <c r="AW363" i="1"/>
  <c r="AS362" i="1"/>
  <c r="K368" i="1"/>
  <c r="J374" i="1"/>
  <c r="AW374" i="1"/>
  <c r="J384" i="1"/>
  <c r="K394" i="1"/>
  <c r="AX394" i="1"/>
  <c r="BC394" i="1" s="1"/>
  <c r="O35" i="1"/>
  <c r="G13" i="2" s="1"/>
  <c r="AV33" i="1"/>
  <c r="M78" i="1"/>
  <c r="O86" i="1"/>
  <c r="G19" i="2" s="1"/>
  <c r="K103" i="1"/>
  <c r="M153" i="1"/>
  <c r="M166" i="1"/>
  <c r="M179" i="1"/>
  <c r="M208" i="1"/>
  <c r="M207" i="1" s="1"/>
  <c r="M211" i="1"/>
  <c r="M210" i="1" s="1"/>
  <c r="M209" i="1" s="1"/>
  <c r="AV230" i="1"/>
  <c r="J271" i="1"/>
  <c r="AX271" i="1"/>
  <c r="AW304" i="1"/>
  <c r="BC304" i="1" s="1"/>
  <c r="J337" i="1"/>
  <c r="AW337" i="1"/>
  <c r="AV337" i="1" s="1"/>
  <c r="AS336" i="1"/>
  <c r="K341" i="1"/>
  <c r="AS352" i="1"/>
  <c r="J359" i="1"/>
  <c r="J358" i="1" s="1"/>
  <c r="D47" i="2" s="1"/>
  <c r="AW359" i="1"/>
  <c r="BC359" i="1" s="1"/>
  <c r="K363" i="1"/>
  <c r="AX363" i="1"/>
  <c r="AT362" i="1"/>
  <c r="K374" i="1"/>
  <c r="AX374" i="1"/>
  <c r="BI384" i="1"/>
  <c r="M394" i="1"/>
  <c r="BC14" i="1"/>
  <c r="BC16" i="1"/>
  <c r="AV16" i="1"/>
  <c r="AV18" i="1"/>
  <c r="BC18" i="1"/>
  <c r="BC266" i="1"/>
  <c r="AV266" i="1"/>
  <c r="C21" i="3"/>
  <c r="C27" i="3"/>
  <c r="BI16" i="1"/>
  <c r="AC16" i="1" s="1"/>
  <c r="K33" i="1"/>
  <c r="BC33" i="1"/>
  <c r="AV57" i="1"/>
  <c r="AL72" i="1"/>
  <c r="M72" i="1"/>
  <c r="AL80" i="1"/>
  <c r="M80" i="1"/>
  <c r="M79" i="1" s="1"/>
  <c r="J103" i="1"/>
  <c r="BC111" i="1"/>
  <c r="AV111" i="1"/>
  <c r="J16" i="1"/>
  <c r="C28" i="3"/>
  <c r="F28" i="3" s="1"/>
  <c r="M33" i="1"/>
  <c r="AL33" i="1"/>
  <c r="K76" i="1"/>
  <c r="AL91" i="1"/>
  <c r="M91" i="1"/>
  <c r="BH103" i="1"/>
  <c r="AB103" i="1" s="1"/>
  <c r="AW121" i="1"/>
  <c r="AL177" i="1"/>
  <c r="L171" i="1"/>
  <c r="F27" i="2" s="1"/>
  <c r="I27" i="2" s="1"/>
  <c r="M177" i="1"/>
  <c r="AV208" i="1"/>
  <c r="BC208" i="1"/>
  <c r="O13" i="1"/>
  <c r="BH16" i="1"/>
  <c r="AB16" i="1" s="1"/>
  <c r="AL14" i="1"/>
  <c r="AL18" i="1"/>
  <c r="K29" i="1"/>
  <c r="M40" i="1"/>
  <c r="AL40" i="1"/>
  <c r="K49" i="1"/>
  <c r="K57" i="1"/>
  <c r="K56" i="1" s="1"/>
  <c r="E16" i="2" s="1"/>
  <c r="M102" i="1"/>
  <c r="BH14" i="1"/>
  <c r="AB14" i="1" s="1"/>
  <c r="BH18" i="1"/>
  <c r="AB18" i="1" s="1"/>
  <c r="AX21" i="1"/>
  <c r="K27" i="1"/>
  <c r="AL29" i="1"/>
  <c r="M29" i="1"/>
  <c r="M13" i="1" s="1"/>
  <c r="K36" i="1"/>
  <c r="K35" i="1" s="1"/>
  <c r="E13" i="2" s="1"/>
  <c r="M49" i="1"/>
  <c r="AL49" i="1"/>
  <c r="M57" i="1"/>
  <c r="M56" i="1" s="1"/>
  <c r="AL57" i="1"/>
  <c r="AU56" i="1" s="1"/>
  <c r="BI66" i="1"/>
  <c r="AC66" i="1" s="1"/>
  <c r="BC73" i="1"/>
  <c r="AV108" i="1"/>
  <c r="J111" i="1"/>
  <c r="J121" i="1"/>
  <c r="J116" i="1" s="1"/>
  <c r="D22" i="2" s="1"/>
  <c r="AL145" i="1"/>
  <c r="M145" i="1"/>
  <c r="AL205" i="1"/>
  <c r="AU204" i="1" s="1"/>
  <c r="M205" i="1"/>
  <c r="M204" i="1" s="1"/>
  <c r="L204" i="1"/>
  <c r="F30" i="2" s="1"/>
  <c r="I30" i="2" s="1"/>
  <c r="BH343" i="1"/>
  <c r="AB343" i="1" s="1"/>
  <c r="AW343" i="1"/>
  <c r="J343" i="1"/>
  <c r="AL52" i="1"/>
  <c r="AU51" i="1" s="1"/>
  <c r="M52" i="1"/>
  <c r="M51" i="1" s="1"/>
  <c r="BI33" i="1"/>
  <c r="AC33" i="1" s="1"/>
  <c r="K66" i="1"/>
  <c r="AL76" i="1"/>
  <c r="M76" i="1"/>
  <c r="BI76" i="1"/>
  <c r="AC76" i="1" s="1"/>
  <c r="AL127" i="1"/>
  <c r="AU126" i="1" s="1"/>
  <c r="M127" i="1"/>
  <c r="M126" i="1" s="1"/>
  <c r="L126" i="1"/>
  <c r="F24" i="2" s="1"/>
  <c r="I24" i="2" s="1"/>
  <c r="BI29" i="1"/>
  <c r="AC29" i="1" s="1"/>
  <c r="AL36" i="1"/>
  <c r="M36" i="1"/>
  <c r="K45" i="1"/>
  <c r="BI49" i="1"/>
  <c r="AC49" i="1" s="1"/>
  <c r="BI57" i="1"/>
  <c r="AC57" i="1" s="1"/>
  <c r="K73" i="1"/>
  <c r="L79" i="1"/>
  <c r="F18" i="2" s="1"/>
  <c r="I18" i="2" s="1"/>
  <c r="K83" i="1"/>
  <c r="K79" i="1" s="1"/>
  <c r="E18" i="2" s="1"/>
  <c r="BI83" i="1"/>
  <c r="AG83" i="1" s="1"/>
  <c r="K87" i="1"/>
  <c r="BI89" i="1"/>
  <c r="K98" i="1"/>
  <c r="BH111" i="1"/>
  <c r="AB111" i="1" s="1"/>
  <c r="F12" i="2"/>
  <c r="I12" i="2" s="1"/>
  <c r="AL45" i="1"/>
  <c r="AU44" i="1" s="1"/>
  <c r="M45" i="1"/>
  <c r="AL87" i="1"/>
  <c r="M87" i="1"/>
  <c r="G21" i="2"/>
  <c r="BF117" i="1"/>
  <c r="O116" i="1"/>
  <c r="G22" i="2" s="1"/>
  <c r="C18" i="3"/>
  <c r="AL98" i="1"/>
  <c r="M98" i="1"/>
  <c r="AV160" i="1"/>
  <c r="AV200" i="1"/>
  <c r="BH24" i="1"/>
  <c r="AB24" i="1" s="1"/>
  <c r="BI27" i="1"/>
  <c r="AC27" i="1" s="1"/>
  <c r="BI45" i="1"/>
  <c r="AC45" i="1" s="1"/>
  <c r="K52" i="1"/>
  <c r="K51" i="1" s="1"/>
  <c r="E15" i="2" s="1"/>
  <c r="AL60" i="1"/>
  <c r="M60" i="1"/>
  <c r="BI60" i="1"/>
  <c r="AC60" i="1" s="1"/>
  <c r="K78" i="1"/>
  <c r="BI87" i="1"/>
  <c r="AT86" i="1"/>
  <c r="K96" i="1"/>
  <c r="BC96" i="1"/>
  <c r="BI98" i="1"/>
  <c r="BC108" i="1"/>
  <c r="AW113" i="1"/>
  <c r="BH113" i="1"/>
  <c r="AB113" i="1" s="1"/>
  <c r="F22" i="2"/>
  <c r="I22" i="2" s="1"/>
  <c r="BC117" i="1"/>
  <c r="AL165" i="1"/>
  <c r="AU159" i="1" s="1"/>
  <c r="L159" i="1"/>
  <c r="F26" i="2" s="1"/>
  <c r="I26" i="2" s="1"/>
  <c r="M165" i="1"/>
  <c r="M159" i="1" s="1"/>
  <c r="AW29" i="1"/>
  <c r="AW36" i="1"/>
  <c r="BF40" i="1"/>
  <c r="AW45" i="1"/>
  <c r="BF49" i="1"/>
  <c r="AW52" i="1"/>
  <c r="AW60" i="1"/>
  <c r="AL66" i="1"/>
  <c r="BF66" i="1"/>
  <c r="AW72" i="1"/>
  <c r="AL73" i="1"/>
  <c r="AW76" i="1"/>
  <c r="AL78" i="1"/>
  <c r="AW80" i="1"/>
  <c r="AL83" i="1"/>
  <c r="BF83" i="1"/>
  <c r="AW87" i="1"/>
  <c r="AL89" i="1"/>
  <c r="BF89" i="1"/>
  <c r="AW91" i="1"/>
  <c r="AL96" i="1"/>
  <c r="AW98" i="1"/>
  <c r="BI121" i="1"/>
  <c r="AC121" i="1" s="1"/>
  <c r="AX121" i="1"/>
  <c r="AV179" i="1"/>
  <c r="M197" i="1"/>
  <c r="M196" i="1" s="1"/>
  <c r="AV211" i="1"/>
  <c r="BC192" i="1"/>
  <c r="AV192" i="1"/>
  <c r="M218" i="1"/>
  <c r="AL218" i="1"/>
  <c r="AU214" i="1" s="1"/>
  <c r="M223" i="1"/>
  <c r="L222" i="1"/>
  <c r="F37" i="2" s="1"/>
  <c r="I37" i="2" s="1"/>
  <c r="AL223" i="1"/>
  <c r="BC242" i="1"/>
  <c r="BC306" i="1"/>
  <c r="AV306" i="1"/>
  <c r="BC130" i="1"/>
  <c r="AT171" i="1"/>
  <c r="L196" i="1"/>
  <c r="F29" i="2" s="1"/>
  <c r="I29" i="2" s="1"/>
  <c r="BC302" i="1"/>
  <c r="AV302" i="1"/>
  <c r="AL135" i="1"/>
  <c r="L129" i="1"/>
  <c r="F25" i="2" s="1"/>
  <c r="I25" i="2" s="1"/>
  <c r="D35" i="2"/>
  <c r="BC285" i="1"/>
  <c r="AV285" i="1"/>
  <c r="BF353" i="1"/>
  <c r="BF359" i="1"/>
  <c r="BF363" i="1"/>
  <c r="BH119" i="1"/>
  <c r="AB119" i="1" s="1"/>
  <c r="BH124" i="1"/>
  <c r="AB124" i="1" s="1"/>
  <c r="AX127" i="1"/>
  <c r="BH130" i="1"/>
  <c r="AB130" i="1" s="1"/>
  <c r="AX135" i="1"/>
  <c r="AV135" i="1" s="1"/>
  <c r="BH140" i="1"/>
  <c r="AB140" i="1" s="1"/>
  <c r="AX145" i="1"/>
  <c r="AV145" i="1" s="1"/>
  <c r="BH153" i="1"/>
  <c r="AB153" i="1" s="1"/>
  <c r="AX156" i="1"/>
  <c r="AV156" i="1" s="1"/>
  <c r="BH160" i="1"/>
  <c r="AB160" i="1" s="1"/>
  <c r="AX165" i="1"/>
  <c r="AV165" i="1" s="1"/>
  <c r="BH166" i="1"/>
  <c r="AB166" i="1" s="1"/>
  <c r="AX172" i="1"/>
  <c r="AV172" i="1" s="1"/>
  <c r="BH174" i="1"/>
  <c r="AB174" i="1" s="1"/>
  <c r="AX177" i="1"/>
  <c r="AV177" i="1" s="1"/>
  <c r="BH179" i="1"/>
  <c r="AB179" i="1" s="1"/>
  <c r="AX184" i="1"/>
  <c r="BC184" i="1" s="1"/>
  <c r="BH186" i="1"/>
  <c r="AB186" i="1" s="1"/>
  <c r="AX189" i="1"/>
  <c r="AV189" i="1" s="1"/>
  <c r="BH192" i="1"/>
  <c r="AB192" i="1" s="1"/>
  <c r="AX197" i="1"/>
  <c r="BH200" i="1"/>
  <c r="AD200" i="1" s="1"/>
  <c r="AX205" i="1"/>
  <c r="AV205" i="1" s="1"/>
  <c r="BH211" i="1"/>
  <c r="L267" i="1"/>
  <c r="F40" i="2" s="1"/>
  <c r="I40" i="2" s="1"/>
  <c r="M270" i="1"/>
  <c r="L284" i="1"/>
  <c r="F41" i="2" s="1"/>
  <c r="I41" i="2" s="1"/>
  <c r="L214" i="1"/>
  <c r="M215" i="1"/>
  <c r="AV268" i="1"/>
  <c r="BC271" i="1"/>
  <c r="BC275" i="1"/>
  <c r="BC278" i="1"/>
  <c r="AV239" i="1"/>
  <c r="AL270" i="1"/>
  <c r="AL273" i="1"/>
  <c r="AL276" i="1"/>
  <c r="AL280" i="1"/>
  <c r="O214" i="1"/>
  <c r="AL230" i="1"/>
  <c r="BC232" i="1"/>
  <c r="BC270" i="1"/>
  <c r="BC273" i="1"/>
  <c r="BC280" i="1"/>
  <c r="AV283" i="1"/>
  <c r="BC283" i="1"/>
  <c r="AL310" i="1"/>
  <c r="M310" i="1"/>
  <c r="AV237" i="1"/>
  <c r="BC237" i="1"/>
  <c r="L265" i="1"/>
  <c r="F39" i="2" s="1"/>
  <c r="I39" i="2" s="1"/>
  <c r="AV309" i="1"/>
  <c r="BH310" i="1"/>
  <c r="AD310" i="1" s="1"/>
  <c r="J310" i="1"/>
  <c r="J284" i="1" s="1"/>
  <c r="D41" i="2" s="1"/>
  <c r="AW341" i="1"/>
  <c r="J341" i="1"/>
  <c r="BH223" i="1"/>
  <c r="AB223" i="1" s="1"/>
  <c r="BH230" i="1"/>
  <c r="AB230" i="1" s="1"/>
  <c r="BH236" i="1"/>
  <c r="AB236" i="1" s="1"/>
  <c r="BH239" i="1"/>
  <c r="AB239" i="1" s="1"/>
  <c r="BH266" i="1"/>
  <c r="AD266" i="1" s="1"/>
  <c r="BH270" i="1"/>
  <c r="AD270" i="1" s="1"/>
  <c r="BH273" i="1"/>
  <c r="AD273" i="1" s="1"/>
  <c r="BH276" i="1"/>
  <c r="AD276" i="1" s="1"/>
  <c r="BH280" i="1"/>
  <c r="AD280" i="1" s="1"/>
  <c r="BH285" i="1"/>
  <c r="AD285" i="1" s="1"/>
  <c r="BH302" i="1"/>
  <c r="AD302" i="1" s="1"/>
  <c r="BH306" i="1"/>
  <c r="AD306" i="1" s="1"/>
  <c r="BC337" i="1"/>
  <c r="BH361" i="1"/>
  <c r="AB361" i="1" s="1"/>
  <c r="K384" i="1"/>
  <c r="BF385" i="1"/>
  <c r="O383" i="1"/>
  <c r="BC389" i="1"/>
  <c r="AV389" i="1"/>
  <c r="BI223" i="1"/>
  <c r="AC223" i="1" s="1"/>
  <c r="BI230" i="1"/>
  <c r="AC230" i="1" s="1"/>
  <c r="BI236" i="1"/>
  <c r="AC236" i="1" s="1"/>
  <c r="BI239" i="1"/>
  <c r="AC239" i="1" s="1"/>
  <c r="BI266" i="1"/>
  <c r="AE266" i="1" s="1"/>
  <c r="BI270" i="1"/>
  <c r="AE270" i="1" s="1"/>
  <c r="BI273" i="1"/>
  <c r="AE273" i="1" s="1"/>
  <c r="BI276" i="1"/>
  <c r="AE276" i="1" s="1"/>
  <c r="BI280" i="1"/>
  <c r="AE280" i="1" s="1"/>
  <c r="BI285" i="1"/>
  <c r="AE285" i="1" s="1"/>
  <c r="BI302" i="1"/>
  <c r="AE302" i="1" s="1"/>
  <c r="BI306" i="1"/>
  <c r="AE306" i="1" s="1"/>
  <c r="BF226" i="1"/>
  <c r="BF301" i="1"/>
  <c r="O336" i="1"/>
  <c r="G43" i="2" s="1"/>
  <c r="BC376" i="1"/>
  <c r="BC388" i="1"/>
  <c r="AL395" i="1"/>
  <c r="M395" i="1"/>
  <c r="AL337" i="1"/>
  <c r="BH389" i="1"/>
  <c r="M313" i="1"/>
  <c r="M312" i="1" s="1"/>
  <c r="J361" i="1"/>
  <c r="J360" i="1" s="1"/>
  <c r="D48" i="2" s="1"/>
  <c r="AL387" i="1"/>
  <c r="M387" i="1"/>
  <c r="BC345" i="1"/>
  <c r="M352" i="1"/>
  <c r="AV365" i="1"/>
  <c r="AV385" i="1"/>
  <c r="AX310" i="1"/>
  <c r="BC310" i="1" s="1"/>
  <c r="AX313" i="1"/>
  <c r="AX339" i="1"/>
  <c r="BC339" i="1" s="1"/>
  <c r="AX341" i="1"/>
  <c r="AX343" i="1"/>
  <c r="AX348" i="1"/>
  <c r="BC348" i="1" s="1"/>
  <c r="AX355" i="1"/>
  <c r="AV355" i="1" s="1"/>
  <c r="AX361" i="1"/>
  <c r="BC361" i="1" s="1"/>
  <c r="AX365" i="1"/>
  <c r="BC365" i="1" s="1"/>
  <c r="AX368" i="1"/>
  <c r="AX372" i="1"/>
  <c r="BC372" i="1" s="1"/>
  <c r="AX376" i="1"/>
  <c r="AV376" i="1" s="1"/>
  <c r="L383" i="1"/>
  <c r="BH386" i="1"/>
  <c r="BI389" i="1"/>
  <c r="BH394" i="1"/>
  <c r="F14" i="3"/>
  <c r="F22" i="3" s="1"/>
  <c r="I27" i="4"/>
  <c r="F29" i="4" s="1"/>
  <c r="AX387" i="1"/>
  <c r="AL388" i="1"/>
  <c r="M392" i="1"/>
  <c r="AW392" i="1"/>
  <c r="AX395" i="1"/>
  <c r="AL396" i="1"/>
  <c r="BH388" i="1"/>
  <c r="BI391" i="1"/>
  <c r="BH396" i="1"/>
  <c r="AV391" i="1"/>
  <c r="AV384" i="1" l="1"/>
  <c r="BC24" i="1"/>
  <c r="AU116" i="1"/>
  <c r="K336" i="1"/>
  <c r="E43" i="2" s="1"/>
  <c r="AV174" i="1"/>
  <c r="BC205" i="1"/>
  <c r="C19" i="3"/>
  <c r="AU362" i="1"/>
  <c r="J159" i="1"/>
  <c r="D26" i="2" s="1"/>
  <c r="BC153" i="1"/>
  <c r="BC363" i="1"/>
  <c r="BC160" i="1"/>
  <c r="M362" i="1"/>
  <c r="BC313" i="1"/>
  <c r="AU336" i="1"/>
  <c r="AV197" i="1"/>
  <c r="K129" i="1"/>
  <c r="E25" i="2" s="1"/>
  <c r="BC166" i="1"/>
  <c r="AV361" i="1"/>
  <c r="K159" i="1"/>
  <c r="E26" i="2" s="1"/>
  <c r="AV124" i="1"/>
  <c r="AV304" i="1"/>
  <c r="K102" i="1"/>
  <c r="BC226" i="1"/>
  <c r="AU284" i="1"/>
  <c r="M35" i="1"/>
  <c r="J59" i="1"/>
  <c r="D17" i="2" s="1"/>
  <c r="M284" i="1"/>
  <c r="M336" i="1"/>
  <c r="AU102" i="1"/>
  <c r="K171" i="1"/>
  <c r="E27" i="2" s="1"/>
  <c r="AV184" i="1"/>
  <c r="AU171" i="1"/>
  <c r="BC135" i="1"/>
  <c r="BC374" i="1"/>
  <c r="M129" i="1"/>
  <c r="BC386" i="1"/>
  <c r="AV396" i="1"/>
  <c r="AV393" i="1"/>
  <c r="BC390" i="1"/>
  <c r="M383" i="1"/>
  <c r="M381" i="1" s="1"/>
  <c r="E35" i="2"/>
  <c r="BC355" i="1"/>
  <c r="BC174" i="1"/>
  <c r="AV215" i="1"/>
  <c r="BC27" i="1"/>
  <c r="K196" i="1"/>
  <c r="E29" i="2" s="1"/>
  <c r="C17" i="3"/>
  <c r="AV127" i="1"/>
  <c r="AV166" i="1"/>
  <c r="AV368" i="1"/>
  <c r="M86" i="1"/>
  <c r="AV103" i="1"/>
  <c r="BC340" i="1"/>
  <c r="K59" i="1"/>
  <c r="E17" i="2" s="1"/>
  <c r="AV370" i="1"/>
  <c r="AV276" i="1"/>
  <c r="BC311" i="1"/>
  <c r="BC301" i="1"/>
  <c r="BC177" i="1"/>
  <c r="AV153" i="1"/>
  <c r="AV49" i="1"/>
  <c r="J171" i="1"/>
  <c r="D27" i="2" s="1"/>
  <c r="AV220" i="1"/>
  <c r="BC220" i="1"/>
  <c r="AU383" i="1"/>
  <c r="M44" i="1"/>
  <c r="AV374" i="1"/>
  <c r="J267" i="1"/>
  <c r="D40" i="2" s="1"/>
  <c r="J35" i="1"/>
  <c r="D13" i="2" s="1"/>
  <c r="K222" i="1"/>
  <c r="E37" i="2" s="1"/>
  <c r="BC78" i="1"/>
  <c r="AV394" i="1"/>
  <c r="AU267" i="1"/>
  <c r="C16" i="3"/>
  <c r="AV186" i="1"/>
  <c r="J209" i="1"/>
  <c r="D32" i="2" s="1"/>
  <c r="D33" i="2"/>
  <c r="J13" i="1"/>
  <c r="D12" i="2" s="1"/>
  <c r="K284" i="1"/>
  <c r="E41" i="2" s="1"/>
  <c r="J383" i="1"/>
  <c r="J222" i="1"/>
  <c r="D37" i="2" s="1"/>
  <c r="K86" i="1"/>
  <c r="E19" i="2" s="1"/>
  <c r="E33" i="2"/>
  <c r="K209" i="1"/>
  <c r="E32" i="2" s="1"/>
  <c r="BC145" i="1"/>
  <c r="M222" i="1"/>
  <c r="AV236" i="1"/>
  <c r="AU129" i="1"/>
  <c r="AV363" i="1"/>
  <c r="K362" i="1"/>
  <c r="E49" i="2" s="1"/>
  <c r="M267" i="1"/>
  <c r="BC119" i="1"/>
  <c r="AV140" i="1"/>
  <c r="K13" i="1"/>
  <c r="M171" i="1"/>
  <c r="M101" i="1" s="1"/>
  <c r="AV40" i="1"/>
  <c r="BC40" i="1"/>
  <c r="BC218" i="1"/>
  <c r="AV218" i="1"/>
  <c r="AV388" i="1"/>
  <c r="BC223" i="1"/>
  <c r="AV223" i="1"/>
  <c r="G33" i="2"/>
  <c r="O209" i="1"/>
  <c r="G32" i="2" s="1"/>
  <c r="C15" i="3"/>
  <c r="AV83" i="1"/>
  <c r="BC393" i="1"/>
  <c r="K383" i="1"/>
  <c r="E52" i="2" s="1"/>
  <c r="J336" i="1"/>
  <c r="AV372" i="1"/>
  <c r="BC21" i="1"/>
  <c r="AV359" i="1"/>
  <c r="D43" i="2"/>
  <c r="E12" i="2"/>
  <c r="L381" i="1"/>
  <c r="F50" i="2" s="1"/>
  <c r="L382" i="1"/>
  <c r="F51" i="2" s="1"/>
  <c r="F52" i="2"/>
  <c r="I52" i="2" s="1"/>
  <c r="BC121" i="1"/>
  <c r="AV121" i="1"/>
  <c r="AV341" i="1"/>
  <c r="BC341" i="1"/>
  <c r="AV339" i="1"/>
  <c r="BC127" i="1"/>
  <c r="AV91" i="1"/>
  <c r="BC91" i="1"/>
  <c r="AV76" i="1"/>
  <c r="BC76" i="1"/>
  <c r="BC45" i="1"/>
  <c r="AV45" i="1"/>
  <c r="M59" i="1"/>
  <c r="AU86" i="1"/>
  <c r="G12" i="2"/>
  <c r="O12" i="1"/>
  <c r="G11" i="2" s="1"/>
  <c r="AV21" i="1"/>
  <c r="AV348" i="1"/>
  <c r="AV113" i="1"/>
  <c r="BC113" i="1"/>
  <c r="AU59" i="1"/>
  <c r="E21" i="2"/>
  <c r="BC395" i="1"/>
  <c r="AV395" i="1"/>
  <c r="BC36" i="1"/>
  <c r="AV36" i="1"/>
  <c r="BC368" i="1"/>
  <c r="M214" i="1"/>
  <c r="BC87" i="1"/>
  <c r="AV87" i="1"/>
  <c r="BC29" i="1"/>
  <c r="AV29" i="1"/>
  <c r="L397" i="1"/>
  <c r="J102" i="1"/>
  <c r="BC392" i="1"/>
  <c r="AV392" i="1"/>
  <c r="F35" i="2"/>
  <c r="I35" i="2" s="1"/>
  <c r="L213" i="1"/>
  <c r="F34" i="2" s="1"/>
  <c r="BC165" i="1"/>
  <c r="AV313" i="1"/>
  <c r="AV310" i="1"/>
  <c r="L101" i="1"/>
  <c r="F20" i="2" s="1"/>
  <c r="K44" i="1"/>
  <c r="E14" i="2" s="1"/>
  <c r="C14" i="3"/>
  <c r="G35" i="2"/>
  <c r="O213" i="1"/>
  <c r="G34" i="2" s="1"/>
  <c r="BC189" i="1"/>
  <c r="BC72" i="1"/>
  <c r="AV72" i="1"/>
  <c r="O382" i="1"/>
  <c r="G51" i="2" s="1"/>
  <c r="G52" i="2"/>
  <c r="O381" i="1"/>
  <c r="G50" i="2" s="1"/>
  <c r="BC172" i="1"/>
  <c r="BC60" i="1"/>
  <c r="AV60" i="1"/>
  <c r="O101" i="1"/>
  <c r="G20" i="2" s="1"/>
  <c r="AU79" i="1"/>
  <c r="L12" i="1"/>
  <c r="F11" i="2" s="1"/>
  <c r="BC387" i="1"/>
  <c r="AV387" i="1"/>
  <c r="AU222" i="1"/>
  <c r="BC98" i="1"/>
  <c r="AV98" i="1"/>
  <c r="BC80" i="1"/>
  <c r="AV80" i="1"/>
  <c r="BC52" i="1"/>
  <c r="AV52" i="1"/>
  <c r="AU35" i="1"/>
  <c r="AV343" i="1"/>
  <c r="BC343" i="1"/>
  <c r="C29" i="3"/>
  <c r="F29" i="3" s="1"/>
  <c r="AU13" i="1"/>
  <c r="BC156" i="1"/>
  <c r="F53" i="2" l="1"/>
  <c r="M382" i="1"/>
  <c r="M397" i="1"/>
  <c r="K101" i="1"/>
  <c r="E20" i="2" s="1"/>
  <c r="K382" i="1"/>
  <c r="E51" i="2" s="1"/>
  <c r="K381" i="1"/>
  <c r="E50" i="2" s="1"/>
  <c r="J382" i="1"/>
  <c r="D51" i="2" s="1"/>
  <c r="J381" i="1"/>
  <c r="D50" i="2" s="1"/>
  <c r="D52" i="2"/>
  <c r="K12" i="1"/>
  <c r="E11" i="2" s="1"/>
  <c r="M12" i="1"/>
  <c r="K213" i="1"/>
  <c r="E34" i="2" s="1"/>
  <c r="J213" i="1"/>
  <c r="D34" i="2" s="1"/>
  <c r="J12" i="1"/>
  <c r="D11" i="2" s="1"/>
  <c r="C22" i="3"/>
  <c r="M213" i="1"/>
  <c r="D21" i="2"/>
  <c r="J101" i="1"/>
  <c r="D20" i="2" s="1"/>
  <c r="I28" i="3"/>
  <c r="I29" i="3" s="1"/>
</calcChain>
</file>

<file path=xl/sharedStrings.xml><?xml version="1.0" encoding="utf-8"?>
<sst xmlns="http://schemas.openxmlformats.org/spreadsheetml/2006/main" count="2910" uniqueCount="824">
  <si>
    <t>Název stavby:</t>
  </si>
  <si>
    <t>"Stavební úpravy objektů čerpací stanice a myčky vozidel - SAKO Brno, a.s., Černovická 15"</t>
  </si>
  <si>
    <t>Doba výstavby:</t>
  </si>
  <si>
    <t xml:space="preserve"> </t>
  </si>
  <si>
    <t>Objednatel:</t>
  </si>
  <si>
    <t>SAKO Brno, a.s., Jedovnická 4247/2, Židenice, 628</t>
  </si>
  <si>
    <t>Druh stavby:</t>
  </si>
  <si>
    <t>Začátek výstavby:</t>
  </si>
  <si>
    <t>Projektant:</t>
  </si>
  <si>
    <t>GARANT projekt s.r.o.,</t>
  </si>
  <si>
    <t>Lokalita:</t>
  </si>
  <si>
    <t>SAKO Brno, Černovická 454/15, Komárov, 617 00 Brno Jih</t>
  </si>
  <si>
    <t>Konec výstavby:</t>
  </si>
  <si>
    <t>Zhotovitel:</t>
  </si>
  <si>
    <t>-</t>
  </si>
  <si>
    <t>JKSO:</t>
  </si>
  <si>
    <t>8115171</t>
  </si>
  <si>
    <t>Zpracováno dne:</t>
  </si>
  <si>
    <t>18.06.2024</t>
  </si>
  <si>
    <t>Zpracoval:</t>
  </si>
  <si>
    <t>Č</t>
  </si>
  <si>
    <t>Objekt</t>
  </si>
  <si>
    <t>Kód</t>
  </si>
  <si>
    <t>Zkrácený popis</t>
  </si>
  <si>
    <t>MJ</t>
  </si>
  <si>
    <t>Množství</t>
  </si>
  <si>
    <t>Cena/MJ</t>
  </si>
  <si>
    <t>Sazba DPH</t>
  </si>
  <si>
    <t>Náklady (Kč)</t>
  </si>
  <si>
    <t>Hmotnost (t)</t>
  </si>
  <si>
    <t>Cenová</t>
  </si>
  <si>
    <t>ISWORK</t>
  </si>
  <si>
    <t>GROUPCODE</t>
  </si>
  <si>
    <t>VATTAX</t>
  </si>
  <si>
    <t>Rozměry</t>
  </si>
  <si>
    <t>(Kč)</t>
  </si>
  <si>
    <t>Dodávka</t>
  </si>
  <si>
    <t>Montáž</t>
  </si>
  <si>
    <t>Celkem</t>
  </si>
  <si>
    <t>Celkem vč. DPH</t>
  </si>
  <si>
    <t>Jednot.</t>
  </si>
  <si>
    <t>soustava</t>
  </si>
  <si>
    <t>Přesuny</t>
  </si>
  <si>
    <t>Typ skupiny</t>
  </si>
  <si>
    <t>HSV mat</t>
  </si>
  <si>
    <t>HSV prac</t>
  </si>
  <si>
    <t>PSV mat</t>
  </si>
  <si>
    <t>PSV prac</t>
  </si>
  <si>
    <t>Mont mat</t>
  </si>
  <si>
    <t>Mont prac</t>
  </si>
  <si>
    <t>Ostatní mat.</t>
  </si>
  <si>
    <t>MAT</t>
  </si>
  <si>
    <t>WORK</t>
  </si>
  <si>
    <t>CELK</t>
  </si>
  <si>
    <t/>
  </si>
  <si>
    <t>0. BPZP</t>
  </si>
  <si>
    <t>Bourací práce u zpevněných ploch - SO05</t>
  </si>
  <si>
    <t>11</t>
  </si>
  <si>
    <t>Přípravné a přidružené práce</t>
  </si>
  <si>
    <t>1</t>
  </si>
  <si>
    <t>113202111R00</t>
  </si>
  <si>
    <t>Vytrhání obrub obrubníků silničních</t>
  </si>
  <si>
    <t>m</t>
  </si>
  <si>
    <t>21</t>
  </si>
  <si>
    <t>RTS II / 2024</t>
  </si>
  <si>
    <t>11_</t>
  </si>
  <si>
    <t>0. BPZP_1_</t>
  </si>
  <si>
    <t>0. BPZP_</t>
  </si>
  <si>
    <t>44,5+70+5</t>
  </si>
  <si>
    <t>2</t>
  </si>
  <si>
    <t>113151119R00</t>
  </si>
  <si>
    <t>Fréz.živič.krytu pl.do 500 m2,pruh do 75cm,tl.10cm</t>
  </si>
  <si>
    <t>m2</t>
  </si>
  <si>
    <t>12,49</t>
  </si>
  <si>
    <t>nájezd do myčky vozidel</t>
  </si>
  <si>
    <t>3</t>
  </si>
  <si>
    <t>113107430R00</t>
  </si>
  <si>
    <t>Odstranění podkladu nad 50 m2,kam.těžené tl.30 cm - pod asfaltovou, betonovou plochou</t>
  </si>
  <si>
    <t>83,53</t>
  </si>
  <si>
    <t>u myčky vozidel</t>
  </si>
  <si>
    <t>55</t>
  </si>
  <si>
    <t>u myčky vozidel (pod betonem)</t>
  </si>
  <si>
    <t>4</t>
  </si>
  <si>
    <t>113107420R00</t>
  </si>
  <si>
    <t>Odstranění podkladu nad 50 m2,kam.těžené tl.20 cm - pod chodníky, kačírkem, bet. plochou u bour. haly</t>
  </si>
  <si>
    <t>59,15</t>
  </si>
  <si>
    <t>"ostrůvek" - v místě retenční nádrže</t>
  </si>
  <si>
    <t>10,2*25,5</t>
  </si>
  <si>
    <t>5</t>
  </si>
  <si>
    <t>113107305R00</t>
  </si>
  <si>
    <t>Odstranění podkladu pl. 50 m2,kam.těžené tl.5 cm - kačírek</t>
  </si>
  <si>
    <t>11,8+13</t>
  </si>
  <si>
    <t>13</t>
  </si>
  <si>
    <t>u již zbourané haly</t>
  </si>
  <si>
    <t>6</t>
  </si>
  <si>
    <t>113106121R00</t>
  </si>
  <si>
    <t>Rozebrání dlažeb z betonových dlaždic na sucho</t>
  </si>
  <si>
    <t>34</t>
  </si>
  <si>
    <t>chodník</t>
  </si>
  <si>
    <t>7</t>
  </si>
  <si>
    <t>113109306R00</t>
  </si>
  <si>
    <t>Odstranění podkladu pl. 50 m2, bet.prostý tl.6 cm</t>
  </si>
  <si>
    <t>9,07</t>
  </si>
  <si>
    <t>u stávající vpusti</t>
  </si>
  <si>
    <t>98,5</t>
  </si>
  <si>
    <t>5,5</t>
  </si>
  <si>
    <t>u ČOVky</t>
  </si>
  <si>
    <t>8</t>
  </si>
  <si>
    <t>115100001RA0</t>
  </si>
  <si>
    <t>Čerpání vody na výšku 10 m, do 500 l - odčerpání vody z nádrže</t>
  </si>
  <si>
    <t>h</t>
  </si>
  <si>
    <t>12</t>
  </si>
  <si>
    <t>Odkopávky a prokopávky</t>
  </si>
  <si>
    <t>9</t>
  </si>
  <si>
    <t>122201103R00</t>
  </si>
  <si>
    <t>Odkopávky nezapažené v hor. 3 do 10000 m3 - předpoklad pod podkladním štěrkem tl. 10 cm</t>
  </si>
  <si>
    <t>m3</t>
  </si>
  <si>
    <t>12_</t>
  </si>
  <si>
    <t>83,53*0,1</t>
  </si>
  <si>
    <t>55*0,1</t>
  </si>
  <si>
    <t>(10,2*25,5)*0,1</t>
  </si>
  <si>
    <t>u bet. plochy zbourané haly</t>
  </si>
  <si>
    <t>10</t>
  </si>
  <si>
    <t>Odkopávky nezapažené v hor. 3 do 10000 m3 - předpoklad pod ornicí 35 cm</t>
  </si>
  <si>
    <t>100*0,35</t>
  </si>
  <si>
    <t>vedle stáv. betonového nájezdu</t>
  </si>
  <si>
    <t>16*0,35</t>
  </si>
  <si>
    <t>24*0,35</t>
  </si>
  <si>
    <t>vedle myčky vozidel (budoucí chodník ze zámk. dl.)</t>
  </si>
  <si>
    <t>Hloubené vykopávky</t>
  </si>
  <si>
    <t>132201110R00</t>
  </si>
  <si>
    <t>Hloubení rýh š.do 60 cm v hor.3 do 50 m3, STROJNĚ</t>
  </si>
  <si>
    <t>13_</t>
  </si>
  <si>
    <t>0,6*2,5*1</t>
  </si>
  <si>
    <t>u vsakovacích jam</t>
  </si>
  <si>
    <t>0,6*3*1</t>
  </si>
  <si>
    <t>0,6*9*1,5</t>
  </si>
  <si>
    <t>dopojení svodu</t>
  </si>
  <si>
    <t>131201110R00</t>
  </si>
  <si>
    <t>Hloubení nezapaž. jam hor.3 do 50 m3, STROJNĚ</t>
  </si>
  <si>
    <t>(1,7*1,7*2,5)*2</t>
  </si>
  <si>
    <t>vsakovací jáma hloubky 2,0m</t>
  </si>
  <si>
    <t>62</t>
  </si>
  <si>
    <t>Úprava povrchů vnější</t>
  </si>
  <si>
    <t>622904121R00</t>
  </si>
  <si>
    <t>Ruční čištění ocelovým kartáčem</t>
  </si>
  <si>
    <t>62_</t>
  </si>
  <si>
    <t>0. BPZP_6_</t>
  </si>
  <si>
    <t>(0,6*0,6*2)*3</t>
  </si>
  <si>
    <t>ocelové poklopy</t>
  </si>
  <si>
    <t>(1,2*0,22*2)*6</t>
  </si>
  <si>
    <t>ocelové I nosníky</t>
  </si>
  <si>
    <t>0,2*3</t>
  </si>
  <si>
    <t>ocelové rámy</t>
  </si>
  <si>
    <t>91</t>
  </si>
  <si>
    <t>Doplňující konstrukce a práce na pozemních komunikacích a zpevněných plochách</t>
  </si>
  <si>
    <t>14</t>
  </si>
  <si>
    <t>919735112R00</t>
  </si>
  <si>
    <t>Řezání stávajícího živičného krytu tl. 5 - 10 cm</t>
  </si>
  <si>
    <t>91_</t>
  </si>
  <si>
    <t>0. BPZP_9_</t>
  </si>
  <si>
    <t>96</t>
  </si>
  <si>
    <t>Bourání konstrukcí</t>
  </si>
  <si>
    <t>15</t>
  </si>
  <si>
    <t>961044111R00</t>
  </si>
  <si>
    <t>Bourání základů z betonu prostého / předpoklad - položka z předchozí zakázky</t>
  </si>
  <si>
    <t>96_</t>
  </si>
  <si>
    <t>zázemí skladníka</t>
  </si>
  <si>
    <t>(5*0,6*0,45)*2</t>
  </si>
  <si>
    <t>(1,95*0,6*0,45)*2</t>
  </si>
  <si>
    <t>sklad</t>
  </si>
  <si>
    <t>(0,6*0,6*0,45)*16</t>
  </si>
  <si>
    <t>16</t>
  </si>
  <si>
    <t>965042241RT6</t>
  </si>
  <si>
    <t>Bourání mazanin betonových tl. nad 10 cm, nad 4 m2 - položka z předchozí zakázky</t>
  </si>
  <si>
    <t>předpokládaná tl. 200 mm</t>
  </si>
  <si>
    <t>(10,2*25,5)*0,2</t>
  </si>
  <si>
    <t>zázemí skladníka (spodní)</t>
  </si>
  <si>
    <t>(4,7*3*)0,2</t>
  </si>
  <si>
    <t>17</t>
  </si>
  <si>
    <t>965049112RT1</t>
  </si>
  <si>
    <t>Příplatek, bourání mazanin se svař.síťí nad 10 cm - položka z předchozí zakázky</t>
  </si>
  <si>
    <t>18</t>
  </si>
  <si>
    <t>965042241RT5</t>
  </si>
  <si>
    <t>zázemí skladníka - horní deska (170 mm)</t>
  </si>
  <si>
    <t>(4,1*2,4)*0,17</t>
  </si>
  <si>
    <t>19</t>
  </si>
  <si>
    <t>965042221RT1</t>
  </si>
  <si>
    <t>Bourání mazanin betonových tl. nad 10 cm, pl. 1 m2 - položka z předchozí zakázky</t>
  </si>
  <si>
    <t>1*1*0,2</t>
  </si>
  <si>
    <t>20</t>
  </si>
  <si>
    <t>Příplatek, bourání mazanin se svař.síťí nad 10 cm (předpoklad) - položka z předchozí zakázky</t>
  </si>
  <si>
    <t>M46</t>
  </si>
  <si>
    <t>Zemní práce při montážích</t>
  </si>
  <si>
    <t>460030020R00</t>
  </si>
  <si>
    <t>Odstranění travnatého porostu</t>
  </si>
  <si>
    <t>M46_</t>
  </si>
  <si>
    <t>146</t>
  </si>
  <si>
    <t>24</t>
  </si>
  <si>
    <t>u kiosku</t>
  </si>
  <si>
    <t>22</t>
  </si>
  <si>
    <t>460030006RT2</t>
  </si>
  <si>
    <t>Sejmutí ornice vrstvy do 15 cm se zeminou tř.2</t>
  </si>
  <si>
    <t>146*0,15</t>
  </si>
  <si>
    <t>24*0,15</t>
  </si>
  <si>
    <t>S</t>
  </si>
  <si>
    <t>Přesuny sutí</t>
  </si>
  <si>
    <t>23</t>
  </si>
  <si>
    <t>979081111RT3</t>
  </si>
  <si>
    <t>Odvoz suti a vybour. hmot na skládku do 1 km</t>
  </si>
  <si>
    <t>t</t>
  </si>
  <si>
    <t>S_</t>
  </si>
  <si>
    <t>184,22+2,75+442,518</t>
  </si>
  <si>
    <t>979081121RT3</t>
  </si>
  <si>
    <t>Příplatek k odvozu za každý další 1 km (předpoklad 10 km)</t>
  </si>
  <si>
    <t>629,488*9</t>
  </si>
  <si>
    <t>25</t>
  </si>
  <si>
    <t>979990103R00</t>
  </si>
  <si>
    <t>Poplatek za uložení suti - beton, skupina odpadu 170101</t>
  </si>
  <si>
    <t>RTS II / 2023</t>
  </si>
  <si>
    <t>32</t>
  </si>
  <si>
    <t>obrubníky</t>
  </si>
  <si>
    <t>4,69</t>
  </si>
  <si>
    <t>betonová dlažba</t>
  </si>
  <si>
    <t>16,28</t>
  </si>
  <si>
    <t>betonový kryt u vjezdu</t>
  </si>
  <si>
    <t>131,25</t>
  </si>
  <si>
    <t>bouraný beton z předchozí akce</t>
  </si>
  <si>
    <t>26</t>
  </si>
  <si>
    <t>979990121R00</t>
  </si>
  <si>
    <t>Poplatek za uložení suti - asfaltové pásy, asfalt skupina odpadu 170302</t>
  </si>
  <si>
    <t>2,75</t>
  </si>
  <si>
    <t>asfalt</t>
  </si>
  <si>
    <t>27</t>
  </si>
  <si>
    <t>979999973R00</t>
  </si>
  <si>
    <t>Poplatek za uložení, zemina a kamení, (skup.170504)</t>
  </si>
  <si>
    <t>91,42+140,47+4,15</t>
  </si>
  <si>
    <t>štěrkové vrstvy, kačírek</t>
  </si>
  <si>
    <t>(39,86+49+11,4+14,45)*1,8</t>
  </si>
  <si>
    <t>zemina</t>
  </si>
  <si>
    <t>1. NZP</t>
  </si>
  <si>
    <t>Nové zpevněné plochy - SO05</t>
  </si>
  <si>
    <t>Konstrukce ze zemin</t>
  </si>
  <si>
    <t>28</t>
  </si>
  <si>
    <t>174101101R00</t>
  </si>
  <si>
    <t>Zásyp jam, rýh, šachet se zhutněním / případně stabilační vrstva 500 mm</t>
  </si>
  <si>
    <t>17_</t>
  </si>
  <si>
    <t>1. NZP_1_</t>
  </si>
  <si>
    <t>1. NZP_</t>
  </si>
  <si>
    <t>u asfaltové plochy předpoklad tl. 500 mm</t>
  </si>
  <si>
    <t>(10,16*25,5)*0,5</t>
  </si>
  <si>
    <t>pod zbouranou halou</t>
  </si>
  <si>
    <t>176*0,5</t>
  </si>
  <si>
    <t>před myčkou vozidel</t>
  </si>
  <si>
    <t>101*0,5</t>
  </si>
  <si>
    <t>za myčkou vozidel</t>
  </si>
  <si>
    <t>29</t>
  </si>
  <si>
    <t>583423602</t>
  </si>
  <si>
    <t>Kamenivo drcené 0/63, JHM / případně stabilační vrstva 500 mm</t>
  </si>
  <si>
    <t>268,04*1,8</t>
  </si>
  <si>
    <t>;ztratné 5%; 24,1236</t>
  </si>
  <si>
    <t>30</t>
  </si>
  <si>
    <t>Zásyp jam, rýh, šachet se zhutněním - vsakovací jímky</t>
  </si>
  <si>
    <t>(1,5*1,5*2)*2</t>
  </si>
  <si>
    <t>vsakovací jímky</t>
  </si>
  <si>
    <t>31</t>
  </si>
  <si>
    <t>583427602</t>
  </si>
  <si>
    <t>Kamenivo drcené 32/63, JHM</t>
  </si>
  <si>
    <t>9*1,45</t>
  </si>
  <si>
    <t>předpoklad 1,45 m3/t</t>
  </si>
  <si>
    <t>;ztratné 5%; 0,6525</t>
  </si>
  <si>
    <t>Povrchové úpravy terénu</t>
  </si>
  <si>
    <t>180401211R00</t>
  </si>
  <si>
    <t>Založení trávníku lučního výsevem v rovině</t>
  </si>
  <si>
    <t>18_</t>
  </si>
  <si>
    <t>3,69*5,51</t>
  </si>
  <si>
    <t>33</t>
  </si>
  <si>
    <t>00572424</t>
  </si>
  <si>
    <t>Směs travní Obnova III - pro trvalou obnovu</t>
  </si>
  <si>
    <t>kg</t>
  </si>
  <si>
    <t>181301101R00</t>
  </si>
  <si>
    <t>Rozprostření ornice, rovina, tl. do 10 cm do 500m2</t>
  </si>
  <si>
    <t>Úprava podloží a základové spáry</t>
  </si>
  <si>
    <t>35</t>
  </si>
  <si>
    <t>215901101RT5</t>
  </si>
  <si>
    <t>Zhutnění podloží z hornin nesoudržných do 92% PS</t>
  </si>
  <si>
    <t>21_</t>
  </si>
  <si>
    <t>1. NZP_2_</t>
  </si>
  <si>
    <t>650</t>
  </si>
  <si>
    <t>řešené plochy</t>
  </si>
  <si>
    <t>Zpevňování hornin a konstrukcí</t>
  </si>
  <si>
    <t>36</t>
  </si>
  <si>
    <t>289970111R00</t>
  </si>
  <si>
    <t>Vrstva geotextilie Geofiltex 500g/m2 - vsakovací jímky</t>
  </si>
  <si>
    <t>28_</t>
  </si>
  <si>
    <t>(2*2,5*4)*2</t>
  </si>
  <si>
    <t>56</t>
  </si>
  <si>
    <t>Podkladní vrstvy komunikací, letišť a ploch</t>
  </si>
  <si>
    <t>37</t>
  </si>
  <si>
    <t>564251111R00</t>
  </si>
  <si>
    <t>Podklad ze štěrkopísku (frakce 0/32) po zhutnění tloušťky 15 cm - u asfaltové skladby</t>
  </si>
  <si>
    <t>56_</t>
  </si>
  <si>
    <t>1. NZP_5_</t>
  </si>
  <si>
    <t>u asfaltové plochy</t>
  </si>
  <si>
    <t>10,16*25,5</t>
  </si>
  <si>
    <t>176</t>
  </si>
  <si>
    <t>101</t>
  </si>
  <si>
    <t>38</t>
  </si>
  <si>
    <t>565171111R00</t>
  </si>
  <si>
    <t>Podklad z obal kamen. ACP 22+, š. do 3 m, tl.10 cm - u asfaltové plochy</t>
  </si>
  <si>
    <t>39</t>
  </si>
  <si>
    <t>565131111R00x</t>
  </si>
  <si>
    <t>Podklad ze štěrku částečně zpevněného cementovou maltou ŠCM tl 200 mm - u asfaltové plochy</t>
  </si>
  <si>
    <t>40</t>
  </si>
  <si>
    <t>568111112R00</t>
  </si>
  <si>
    <t>Zřízení vrstvy z geotextilie skl.do 1:5,š.do 7,5 m</t>
  </si>
  <si>
    <t>15,5*1,35</t>
  </si>
  <si>
    <t>59</t>
  </si>
  <si>
    <t>ostrůvek</t>
  </si>
  <si>
    <t>;ztratné 5%; 30,80025</t>
  </si>
  <si>
    <t>41</t>
  </si>
  <si>
    <t>69366199</t>
  </si>
  <si>
    <t>Geotextilie FILTEK 500 g/m2 ze 100% PP</t>
  </si>
  <si>
    <t>646,8</t>
  </si>
  <si>
    <t>;ztratné 5%; 32,34</t>
  </si>
  <si>
    <t>42</t>
  </si>
  <si>
    <t>564871111RT2</t>
  </si>
  <si>
    <t>Podklad ze štěrkodrti po zhutnění tloušťky 25 cm, štěrkodrť frakce 0-32 mm - pod chodník, pod "ostrůvek"</t>
  </si>
  <si>
    <t>57</t>
  </si>
  <si>
    <t>Kryty pozemních komunikací, letišť a ploch z kameniva nebo živičné</t>
  </si>
  <si>
    <t>43</t>
  </si>
  <si>
    <t>573231121R00x</t>
  </si>
  <si>
    <t>Postřik živičný spojovací z asfaltu v množství 0,40 kg/m2</t>
  </si>
  <si>
    <t>57_</t>
  </si>
  <si>
    <t>44</t>
  </si>
  <si>
    <t>573231121R01x</t>
  </si>
  <si>
    <t>Postřik živičný spojovací z asfaltu v množství 0,50 kg/m2</t>
  </si>
  <si>
    <t>45</t>
  </si>
  <si>
    <t>577151113R00</t>
  </si>
  <si>
    <t>Beton asfalt. ACO 16+ obrusný, š. do 3 m, tl. 6 cm</t>
  </si>
  <si>
    <t>Kryty pozemních komunikací, letišť a ploch dlážděných (předlažby)</t>
  </si>
  <si>
    <t>46</t>
  </si>
  <si>
    <t>596215021R00</t>
  </si>
  <si>
    <t>Kladení zámkové dlažby tl. 6 cm do drtě tl. 4 cm</t>
  </si>
  <si>
    <t>59_</t>
  </si>
  <si>
    <t>47</t>
  </si>
  <si>
    <t>59248050x</t>
  </si>
  <si>
    <t>Dlažba zámková 20/10/6 II přírodní</t>
  </si>
  <si>
    <t>20,92</t>
  </si>
  <si>
    <t>;ztratné 3%; 0,6276</t>
  </si>
  <si>
    <t>48</t>
  </si>
  <si>
    <t>596291111R00</t>
  </si>
  <si>
    <t>Řezání zámkové dlažby tl. 60 mm - chodník vedle myčky vozidel</t>
  </si>
  <si>
    <t>15+1,5</t>
  </si>
  <si>
    <t>49</t>
  </si>
  <si>
    <t>596811111RT4</t>
  </si>
  <si>
    <t>Kladení dlaždic kom.pro pěší, lože z drtě tl. 5 cm., včetně dlaždic betonových 50/50/5 cm</t>
  </si>
  <si>
    <t>1,15*8,25</t>
  </si>
  <si>
    <t>chodník u kiosku v "ostrůvku"</t>
  </si>
  <si>
    <t>1,15*3,7</t>
  </si>
  <si>
    <t>1,15*6,2</t>
  </si>
  <si>
    <t>50</t>
  </si>
  <si>
    <t>596291111R00x</t>
  </si>
  <si>
    <t>Řezání betonové dlažby tl. 50 mm</t>
  </si>
  <si>
    <t>8,25+3,7+3,7+6,2</t>
  </si>
  <si>
    <t>51</t>
  </si>
  <si>
    <t>597069111R00x</t>
  </si>
  <si>
    <t>Žlab systémový odvodňovací polymerbeton, včetně příslušenství (pojízdná mřížka E, žlabové spojení s těsněním) a montáže dle specifikace</t>
  </si>
  <si>
    <t>25,5</t>
  </si>
  <si>
    <t>52</t>
  </si>
  <si>
    <t>457621412R00</t>
  </si>
  <si>
    <t>D+M Těsnění z asfaltobet. úprava spár zálivkou, bitumenová hmota - napojení na stávající asfaltovou plochu</t>
  </si>
  <si>
    <t>25,5+10,5+1+16+16,5</t>
  </si>
  <si>
    <t>63</t>
  </si>
  <si>
    <t>Podlahy a podlahové konstrukce</t>
  </si>
  <si>
    <t>53</t>
  </si>
  <si>
    <t>639571210R00</t>
  </si>
  <si>
    <t>Kačírek pro okapový chodník tl. 100 mm - u kiosku myčky vozidel</t>
  </si>
  <si>
    <t>63_</t>
  </si>
  <si>
    <t>1. NZP_6_</t>
  </si>
  <si>
    <t>2,7*3,65</t>
  </si>
  <si>
    <t>3,33*3,66</t>
  </si>
  <si>
    <t>3,96*2,52</t>
  </si>
  <si>
    <t>783</t>
  </si>
  <si>
    <t>Nátěry</t>
  </si>
  <si>
    <t>54</t>
  </si>
  <si>
    <t>783122110R00</t>
  </si>
  <si>
    <t>Nátěr syntetický základní dvojnásobný - ocelové I nosníky u retenční nádrže</t>
  </si>
  <si>
    <t>783_</t>
  </si>
  <si>
    <t>1. NZP_78_</t>
  </si>
  <si>
    <t>+ ztratné</t>
  </si>
  <si>
    <t>783122510R00</t>
  </si>
  <si>
    <t>Nátěr syntetický základní 1x + 1x vrchní nátěr - ocelové litinové poklopy, rámy</t>
  </si>
  <si>
    <t>917832114RT5</t>
  </si>
  <si>
    <t>Osazení stojatého obrubníku betonového, bez boční opěry, do lože z betonu C 16/20, včetně obrubníku 1000 x 100 x 250 mm</t>
  </si>
  <si>
    <t>1. NZP_9_</t>
  </si>
  <si>
    <t>10,3+13+37,5+1,35+15,3+1,35+5,1+14,7+5,3+14,7+6,5+10,9+2,5</t>
  </si>
  <si>
    <t>H22</t>
  </si>
  <si>
    <t>Komunikace pozemní a letiště</t>
  </si>
  <si>
    <t>998225111R00</t>
  </si>
  <si>
    <t>Přesun hmot, pozemní komunikace, kryt živičný</t>
  </si>
  <si>
    <t>H22_</t>
  </si>
  <si>
    <t>VORN</t>
  </si>
  <si>
    <t>Vedlejší a ostatní rozpočtové náklady</t>
  </si>
  <si>
    <t>04VRN</t>
  </si>
  <si>
    <t>Inženýrské činnosti</t>
  </si>
  <si>
    <t>58</t>
  </si>
  <si>
    <t>043002VRN</t>
  </si>
  <si>
    <t>Zkouška statická podloží, včetně protokolu</t>
  </si>
  <si>
    <t>Soubor</t>
  </si>
  <si>
    <t>99</t>
  </si>
  <si>
    <t>04VRN_</t>
  </si>
  <si>
    <t>1. NZP_Â _</t>
  </si>
  <si>
    <t>2.SO05</t>
  </si>
  <si>
    <t>Posun haly - SO05</t>
  </si>
  <si>
    <t>132201111R00</t>
  </si>
  <si>
    <t>Hloubení rýh š.do 60 cm v hor.3 do 100 m3, STROJNĚ</t>
  </si>
  <si>
    <t>2.SO05_1_</t>
  </si>
  <si>
    <t>2.SO05_</t>
  </si>
  <si>
    <t>(1,8*1*1,3)*4</t>
  </si>
  <si>
    <t>ŽB patky</t>
  </si>
  <si>
    <t>(pod nové patky (7,8,9,10)</t>
  </si>
  <si>
    <t>60</t>
  </si>
  <si>
    <t>132201219R00</t>
  </si>
  <si>
    <t>Přípl.za lepivost,hloubení rýh 200cm,hor.3,STROJNĚ</t>
  </si>
  <si>
    <t>61</t>
  </si>
  <si>
    <t>2.SO05_2_</t>
  </si>
  <si>
    <t>(1,8*1)*4</t>
  </si>
  <si>
    <t>Základy</t>
  </si>
  <si>
    <t>275313711R00</t>
  </si>
  <si>
    <t>Beton základových patek prostý C 25/30</t>
  </si>
  <si>
    <t>27_</t>
  </si>
  <si>
    <t>(1,8*1*0,8)*4</t>
  </si>
  <si>
    <t>spodní patka</t>
  </si>
  <si>
    <t>(0,6*0,6*0,4)*4</t>
  </si>
  <si>
    <t>horní patka</t>
  </si>
  <si>
    <t>275366006R00</t>
  </si>
  <si>
    <t>Výztuž základových patek z betonářské oceli B500B</t>
  </si>
  <si>
    <t>0,0126</t>
  </si>
  <si>
    <t>betonářská výztuž průměr 8</t>
  </si>
  <si>
    <t>0,1364</t>
  </si>
  <si>
    <t>betonářská výztuž průměr 10</t>
  </si>
  <si>
    <t>0,1547</t>
  </si>
  <si>
    <t>betonářská výztuž průměr 12</t>
  </si>
  <si>
    <t>64</t>
  </si>
  <si>
    <t>275311117R00</t>
  </si>
  <si>
    <t>Beton základ. patek prostý z cem. portlad. C 25/30 - nadbetonávka u ŽB patek</t>
  </si>
  <si>
    <t>(0,6*0,6*0,14)*3</t>
  </si>
  <si>
    <t>(ŽB patka č. 2,9,10)</t>
  </si>
  <si>
    <t>65</t>
  </si>
  <si>
    <t>275351215R00</t>
  </si>
  <si>
    <t>Bednění stěn základových patek - zřízení</t>
  </si>
  <si>
    <t>(1,8*0,8*4)*4</t>
  </si>
  <si>
    <t>spodní patky</t>
  </si>
  <si>
    <t>(0,6*0,6*4)*4</t>
  </si>
  <si>
    <t>horní patky</t>
  </si>
  <si>
    <t>(0,6*0,3*4)*3</t>
  </si>
  <si>
    <t>nadbetonávka</t>
  </si>
  <si>
    <t>66</t>
  </si>
  <si>
    <t>275351216R00</t>
  </si>
  <si>
    <t>Bednění stěn základových patek - odstranění</t>
  </si>
  <si>
    <t>67</t>
  </si>
  <si>
    <t>271313511R00</t>
  </si>
  <si>
    <t>Beton podkladní pod základové konstrukce, prostý</t>
  </si>
  <si>
    <t>(1,9*0,9*0,1)*4</t>
  </si>
  <si>
    <t>68</t>
  </si>
  <si>
    <t>771101116R00x</t>
  </si>
  <si>
    <t>Vyrovnání podkladů samonivelační hmotou tloušťky do 30 mm - dorovníní stávajících ŽB patek pro následnou montáž ocelových prvků myčky</t>
  </si>
  <si>
    <t>(0,6*0,6)*5</t>
  </si>
  <si>
    <t>(ŽB patky č. 1,3,4,5,6)</t>
  </si>
  <si>
    <t>69</t>
  </si>
  <si>
    <t>Ruční čištění ocelovým kartáčem - ocelová konstrukce myčky vozidel</t>
  </si>
  <si>
    <t>2.SO05_6_</t>
  </si>
  <si>
    <t>stěny</t>
  </si>
  <si>
    <t>(6,1*0,2*2)*6</t>
  </si>
  <si>
    <t>ocelový jekl 120/200 - délky 6,1m</t>
  </si>
  <si>
    <t>(6,1*0,12*2)*6</t>
  </si>
  <si>
    <t>(6,15*0,24*2)*4</t>
  </si>
  <si>
    <t>ocelový jekl 240/280 - délky 6,15m</t>
  </si>
  <si>
    <t>(6,15*0,28*2)*4</t>
  </si>
  <si>
    <t>(3,65*0,16*2*4)*4</t>
  </si>
  <si>
    <t>(3,65*0,1*2*4)*4</t>
  </si>
  <si>
    <t>ocelový jekl 100/160 - délky 3,65m</t>
  </si>
  <si>
    <t>((3,65*0,08*4*3)*3)*2</t>
  </si>
  <si>
    <t>ocelový jekl 80/80 - délky 3,65m</t>
  </si>
  <si>
    <t>(3,65*0,08*4*4)</t>
  </si>
  <si>
    <t>(4,9*0,08*4*2)*2</t>
  </si>
  <si>
    <t>diagonály</t>
  </si>
  <si>
    <t>(5,9*0,08*4*12)*2</t>
  </si>
  <si>
    <t>diagonály horní</t>
  </si>
  <si>
    <t>střecha</t>
  </si>
  <si>
    <t>3,17*0,18*2*3</t>
  </si>
  <si>
    <t>ocelový jekl 180/80 - délky 3,17m</t>
  </si>
  <si>
    <t>3,17*0,08*2*3</t>
  </si>
  <si>
    <t>3,17*0,28*2*2</t>
  </si>
  <si>
    <t>(3,7*0,16*2*2)*4</t>
  </si>
  <si>
    <t>(3,7*0,08*2*2)*4</t>
  </si>
  <si>
    <t>3,17*0,24*2*2</t>
  </si>
  <si>
    <t>ocelový jekl 240/280 - délky 3,17m</t>
  </si>
  <si>
    <t>(3,7*0,1*2*2)*4</t>
  </si>
  <si>
    <t>ocelový jekl 100/160 - délky 3,7m</t>
  </si>
  <si>
    <t>(3,7*0,12*2*2)*4</t>
  </si>
  <si>
    <t>ocelový jekl 120/80 - délky 3,7m</t>
  </si>
  <si>
    <t>((9*4)*2)*0,08*2</t>
  </si>
  <si>
    <t>plochá ocel 80/8</t>
  </si>
  <si>
    <t>(6*4)*0,08*2</t>
  </si>
  <si>
    <t>721</t>
  </si>
  <si>
    <t>Vnitřní kanalizace</t>
  </si>
  <si>
    <t>70</t>
  </si>
  <si>
    <t>721242111R001</t>
  </si>
  <si>
    <t>D+M lapač střešních splavenin PP HL660, D 200 mm - P01</t>
  </si>
  <si>
    <t>kus</t>
  </si>
  <si>
    <t>721_</t>
  </si>
  <si>
    <t>2.SO05_72_</t>
  </si>
  <si>
    <t>764</t>
  </si>
  <si>
    <t>Konstrukce klempířské</t>
  </si>
  <si>
    <t>71</t>
  </si>
  <si>
    <t>764352820R00</t>
  </si>
  <si>
    <t>Demontáž žlabů půlkruh. rovných, rš 400 mm, do 30°</t>
  </si>
  <si>
    <t>764_</t>
  </si>
  <si>
    <t>2.SO05_76_</t>
  </si>
  <si>
    <t>15,6</t>
  </si>
  <si>
    <t>72</t>
  </si>
  <si>
    <t>764454803R00</t>
  </si>
  <si>
    <t>Demontáž odpadních trub kruhových, D 150 mm</t>
  </si>
  <si>
    <t>73</t>
  </si>
  <si>
    <t>764900010RA0</t>
  </si>
  <si>
    <t>Demontáž krytiny střech - trapézový plech</t>
  </si>
  <si>
    <t>15,5*6,7</t>
  </si>
  <si>
    <t>74</t>
  </si>
  <si>
    <t>764908106R00</t>
  </si>
  <si>
    <t>D+M žlab podokapní půlkruhový R,velikost 200 mm, R.Š. 400, povrchově chráněný vrstvou měk. PVC, vč. spoj. mat., viz. výpis - K02</t>
  </si>
  <si>
    <t>75</t>
  </si>
  <si>
    <t>764908101R00R</t>
  </si>
  <si>
    <t>D+M kotlík žlabový kónický SOK,vel.žlabu 150 mm vč. spoj. mat., viz. výpis - K03</t>
  </si>
  <si>
    <t>76</t>
  </si>
  <si>
    <t>764908110R00R</t>
  </si>
  <si>
    <t>D+M odpadní trouby kruhové SROR, D 150 mm, povrchově chráněný vrstvou měk. PVC, vč. spoj. mat., viz. výpis - K03</t>
  </si>
  <si>
    <t>6,2</t>
  </si>
  <si>
    <t>77</t>
  </si>
  <si>
    <t>764311291RT2</t>
  </si>
  <si>
    <t>Montáž krytiny z Pz plechu, tabule 2 x 1 m, bez zednických výpomocí</t>
  </si>
  <si>
    <t>78</t>
  </si>
  <si>
    <t>55350642</t>
  </si>
  <si>
    <t>Plech trapézový, žárově poaluzinkován / pozinkován, antikondenzační úprava, tl. plechu 0,63 mm, výška vlny 38 mm, vč. syst. kotvících prvků - K01</t>
  </si>
  <si>
    <t>;ztratné 3%; 3,1155</t>
  </si>
  <si>
    <t>79</t>
  </si>
  <si>
    <t>998764102R00</t>
  </si>
  <si>
    <t>Přesun hmot pro klempířské konstr., výšky do 12 m</t>
  </si>
  <si>
    <t>767</t>
  </si>
  <si>
    <t>Konstrukce doplňkové stavební (zámečnické)</t>
  </si>
  <si>
    <t>80</t>
  </si>
  <si>
    <t>767996804R00</t>
  </si>
  <si>
    <t>Demontáž atypických ocelových konstr. do 500 kg, včetně pomocného a kotevního materiálu</t>
  </si>
  <si>
    <t>767_</t>
  </si>
  <si>
    <t>(35,41*6,1)*6</t>
  </si>
  <si>
    <t>ocelový jekl 120/200/ (8) - 35,41 kg/m</t>
  </si>
  <si>
    <t>(59,1*6,15)*4</t>
  </si>
  <si>
    <t>ocelový jekl 240/280/ (8) - 59,1 kg/m</t>
  </si>
  <si>
    <t>(15,5*3,65*4)*4</t>
  </si>
  <si>
    <t>ocelový jekl 100/160/ (4) - 15,5 kg/m</t>
  </si>
  <si>
    <t>((9,3*3,65*3)*3)*2</t>
  </si>
  <si>
    <t>ocelový jekl 80/80/ (4) - 9,3 kg/m</t>
  </si>
  <si>
    <t>(9,3*3,65*4)</t>
  </si>
  <si>
    <t>(9,3*4,9*2)*2</t>
  </si>
  <si>
    <t>(9,3*5,9*12)*2</t>
  </si>
  <si>
    <t>20,14*3,17*3</t>
  </si>
  <si>
    <t>ocelový jekl 180/80/ (5) - 20,14 kg/m</t>
  </si>
  <si>
    <t>59,1*3,17*2</t>
  </si>
  <si>
    <t>(15,5*3,7*2)*4</t>
  </si>
  <si>
    <t>(11,7*3,7*2)*4</t>
  </si>
  <si>
    <t>ocelový jekl 120/80/ (5) - 11,7 kg/m</t>
  </si>
  <si>
    <t>(5,02*9*4)*2</t>
  </si>
  <si>
    <t>plochá ocel 80/8 - 5,02 kg/m</t>
  </si>
  <si>
    <t>(5,02*6*4)</t>
  </si>
  <si>
    <t>81</t>
  </si>
  <si>
    <t>767995107R00</t>
  </si>
  <si>
    <t>Zpětná montáž kov. atypických konstr. do 500 kg, včetně pomocného a kotevního materiálu</t>
  </si>
  <si>
    <t>82</t>
  </si>
  <si>
    <t>767141800R00</t>
  </si>
  <si>
    <t>Demontáž konstr.opláštění,vč.polykarbonátové výplně</t>
  </si>
  <si>
    <t>67,87*2</t>
  </si>
  <si>
    <t>83</t>
  </si>
  <si>
    <t>767141100R00x</t>
  </si>
  <si>
    <t>Montáž polykarbonátového opláštění</t>
  </si>
  <si>
    <t>84</t>
  </si>
  <si>
    <t>283182415C</t>
  </si>
  <si>
    <t>Polykarbonátová deska sedmistěnná, tl. 25 mm, mez pevnosti v tahu 62 MPa, 22 dB, pož. odolnost B-s1, d0, koef. pr. tepla U = 1,39 W/m2K</t>
  </si>
  <si>
    <t>67,87+67,87</t>
  </si>
  <si>
    <t>;ztratné 3%; 4,0722</t>
  </si>
  <si>
    <t>85</t>
  </si>
  <si>
    <t>R767995102R00</t>
  </si>
  <si>
    <t>D+M spojovacích a kotevních prvků k polykarbonátovému opláštění</t>
  </si>
  <si>
    <t>kpl.</t>
  </si>
  <si>
    <t>86</t>
  </si>
  <si>
    <t>D+M spojovacích a kotevních šroubů vč. příslušenství ocelových sloupů k ŽB patkám</t>
  </si>
  <si>
    <t>87</t>
  </si>
  <si>
    <t>998767101R00</t>
  </si>
  <si>
    <t>Přesun hmot pro zámečnické konstr., výšky do 6 m</t>
  </si>
  <si>
    <t>88</t>
  </si>
  <si>
    <t>783124220R00</t>
  </si>
  <si>
    <t>Nátěr syntetický 1x základní + 2x vrchní  - stávající přemístěná ocelová konstrukce myčky</t>
  </si>
  <si>
    <t>2.SO05_78_</t>
  </si>
  <si>
    <t>94</t>
  </si>
  <si>
    <t>Lešení a stavební výtahy</t>
  </si>
  <si>
    <t>89</t>
  </si>
  <si>
    <t>941955004R00</t>
  </si>
  <si>
    <t>Lešení lehké pomocné, výška podlahy do 3,5 m</t>
  </si>
  <si>
    <t>94_</t>
  </si>
  <si>
    <t>2.SO05_9_</t>
  </si>
  <si>
    <t>6,53*15,46</t>
  </si>
  <si>
    <t>90</t>
  </si>
  <si>
    <t>946941102RT3</t>
  </si>
  <si>
    <t>Montáž pojízdných Alu věží BOSS, 2,5 x 1,45 m</t>
  </si>
  <si>
    <t>sada</t>
  </si>
  <si>
    <t>946941802RT3</t>
  </si>
  <si>
    <t>Demontáž pojízdných Alu věží BOSS, 2,5 x 1,45 m</t>
  </si>
  <si>
    <t>92</t>
  </si>
  <si>
    <t>946941196RT3</t>
  </si>
  <si>
    <t>Nájemné pojízdných Alu věží BOSS, 2,5 x 0,85 m</t>
  </si>
  <si>
    <t>den</t>
  </si>
  <si>
    <t>93</t>
  </si>
  <si>
    <t>949942101R00</t>
  </si>
  <si>
    <t>Nájem za hydraulickou zvedací plošinu, H do 27 m - montáž opláštění, trapézového plechu</t>
  </si>
  <si>
    <t>942942293R00x</t>
  </si>
  <si>
    <t>Pronájem jeřábu - posun stávající ocelové konstrukce myčky vozidel</t>
  </si>
  <si>
    <t>hod.</t>
  </si>
  <si>
    <t>95</t>
  </si>
  <si>
    <t>Různé dokončovací konstrukce a práce na pozemních stavbách</t>
  </si>
  <si>
    <t>952901221R00</t>
  </si>
  <si>
    <t>Vyčištění průmyslových budov a objektů výrobních</t>
  </si>
  <si>
    <t>95_</t>
  </si>
  <si>
    <t>961055111R00</t>
  </si>
  <si>
    <t>Bourání základů železobetonových (odbourání nadzemních částí patek)</t>
  </si>
  <si>
    <t>0,7*0,7*0,14</t>
  </si>
  <si>
    <t>odbourání ŽB patky (č. 6)</t>
  </si>
  <si>
    <t>0,8*0,8*0,6</t>
  </si>
  <si>
    <t>odbourání ŽB patek (i pod budoucí skladbou)</t>
  </si>
  <si>
    <t>0,6*0,7*0,6</t>
  </si>
  <si>
    <t>97</t>
  </si>
  <si>
    <t>Prorážení otvorů a ostatní bourací práce</t>
  </si>
  <si>
    <t>970041018R00</t>
  </si>
  <si>
    <t>Vrtání jádrové do prostého betonu d 14 - 18 mm</t>
  </si>
  <si>
    <t>97_</t>
  </si>
  <si>
    <t>0,3*2*10</t>
  </si>
  <si>
    <t>kotvení ocelových sloupů k ŽB patkám</t>
  </si>
  <si>
    <t>98</t>
  </si>
  <si>
    <t>31171814</t>
  </si>
  <si>
    <t>Kotva chemická - ampule RM II 16</t>
  </si>
  <si>
    <t>10*2</t>
  </si>
  <si>
    <t>celkem 10 sloupů</t>
  </si>
  <si>
    <t>2 chemické kotvy na sloup</t>
  </si>
  <si>
    <t>H01</t>
  </si>
  <si>
    <t>Budovy občanské výstavby</t>
  </si>
  <si>
    <t>998014011R00</t>
  </si>
  <si>
    <t>Přesun hmot, budovy mont. jednopodl. s pláštěm</t>
  </si>
  <si>
    <t>H01_</t>
  </si>
  <si>
    <t>M21</t>
  </si>
  <si>
    <t>Elektromontáže</t>
  </si>
  <si>
    <t>100</t>
  </si>
  <si>
    <t>77758VD</t>
  </si>
  <si>
    <t>Demontáž veškeré elektroinstalce v myčce - svítidla, kabeláže</t>
  </si>
  <si>
    <t>soubor</t>
  </si>
  <si>
    <t>M21_</t>
  </si>
  <si>
    <t>979082111R00</t>
  </si>
  <si>
    <t>Vnitrostaveništní doprava suti do 10 m</t>
  </si>
  <si>
    <t>1,69+16,848+2,71+0,83</t>
  </si>
  <si>
    <t>102</t>
  </si>
  <si>
    <t>979081111R00</t>
  </si>
  <si>
    <t>103</t>
  </si>
  <si>
    <t>979081121R00</t>
  </si>
  <si>
    <t>Příplatek k odvozu za každý další 1 km - předpokládaná vzdálenost 10 km</t>
  </si>
  <si>
    <t>22,078+9</t>
  </si>
  <si>
    <t>104</t>
  </si>
  <si>
    <t>979013112R00</t>
  </si>
  <si>
    <t>Svislá doprava vybouraných hmot na H do 3,5 m - kce bourané ze střechy</t>
  </si>
  <si>
    <t>0,76</t>
  </si>
  <si>
    <t>trapézový plech střechy</t>
  </si>
  <si>
    <t>105</t>
  </si>
  <si>
    <t>979013119R00</t>
  </si>
  <si>
    <t>Příplatek k hmotám za každých dalších 3,5 m výšky</t>
  </si>
  <si>
    <t>106</t>
  </si>
  <si>
    <t>979990108R00</t>
  </si>
  <si>
    <t>Poplatek za uložení suti - železobeton, skupina odpadu 170101</t>
  </si>
  <si>
    <t>1,69</t>
  </si>
  <si>
    <t>odstraňované ŽB patky</t>
  </si>
  <si>
    <t>107</t>
  </si>
  <si>
    <t>979999975R00</t>
  </si>
  <si>
    <t>Poplatek za uložení, zemina a kamení s příměsí 10 % (cihla, beton), (skup.170504)</t>
  </si>
  <si>
    <t>9,36*1,8</t>
  </si>
  <si>
    <t>výkopy pro nové ŽB patky</t>
  </si>
  <si>
    <t>108</t>
  </si>
  <si>
    <t>979990191R00</t>
  </si>
  <si>
    <t>Poplatek za uložení suti - plastové výrobky, skupina odpadu 170203</t>
  </si>
  <si>
    <t>2,71</t>
  </si>
  <si>
    <t>opláštění z polykarbonátu</t>
  </si>
  <si>
    <t>109</t>
  </si>
  <si>
    <t>979951111R00</t>
  </si>
  <si>
    <t>Výkup kovů - železný šrot tl. do 7 mm (fakturováno dle skutečnosti)</t>
  </si>
  <si>
    <t>0,05+0,02</t>
  </si>
  <si>
    <t>klempířské výrobky</t>
  </si>
  <si>
    <t>trapézový střešní plech</t>
  </si>
  <si>
    <t>3.VRN</t>
  </si>
  <si>
    <t>Vedlejší rozpočtové náklady</t>
  </si>
  <si>
    <t>03VRN</t>
  </si>
  <si>
    <t>Vedlejší náklady</t>
  </si>
  <si>
    <t>110</t>
  </si>
  <si>
    <t>030001VRN</t>
  </si>
  <si>
    <t>Zařízení staveniště - veškeré náklady spojené s vybudováním, provozem a odstraněním ZS</t>
  </si>
  <si>
    <t>03VRN_</t>
  </si>
  <si>
    <t>3.VRN_Â _</t>
  </si>
  <si>
    <t>3.VRN_</t>
  </si>
  <si>
    <t>111</t>
  </si>
  <si>
    <t>030002VRN</t>
  </si>
  <si>
    <t>Zkoušky a revize - náklady zhotovitele na provádění zkoušek a revizí nezbytných k provedení díla</t>
  </si>
  <si>
    <t>112</t>
  </si>
  <si>
    <t>030003VRN</t>
  </si>
  <si>
    <t>Provozní vlivy - zohlednění všech cizích vlivů způsobených na stavbě</t>
  </si>
  <si>
    <t>113</t>
  </si>
  <si>
    <t>030004VRN</t>
  </si>
  <si>
    <t>Geodetické práce - vytyčení všech stávajících podzemních sítí, stavby, IS, skutečného provedení atd.</t>
  </si>
  <si>
    <t>114</t>
  </si>
  <si>
    <t>030005VRN</t>
  </si>
  <si>
    <t>Mimostaveništní doprava - mimořádné náklady spojené s dopravou materiálu na staveniště</t>
  </si>
  <si>
    <t>115</t>
  </si>
  <si>
    <t>030006VRN</t>
  </si>
  <si>
    <t>Územní vlivy - zohlednění dopravních omezení záborů veřejných ploch vč. dokumentace a povolení přechodné úpravy provozu na pozemních kom.</t>
  </si>
  <si>
    <t>116</t>
  </si>
  <si>
    <t>030007VRN</t>
  </si>
  <si>
    <t>Vnitroareálová doprava - mimořádné náklady spojené se stíženými podmínkami (absence přístupu apod.)</t>
  </si>
  <si>
    <t>117</t>
  </si>
  <si>
    <t>030008VRN</t>
  </si>
  <si>
    <t>Dokumentace skutečného provedení stavby</t>
  </si>
  <si>
    <t>118</t>
  </si>
  <si>
    <t>030009VRN</t>
  </si>
  <si>
    <t>Bankovní záruky - náklady na bankovní záruky dle podmínek zadavatele</t>
  </si>
  <si>
    <t>119</t>
  </si>
  <si>
    <t>0300010VRN</t>
  </si>
  <si>
    <t>Pojištění stavby - náklady na pojištění stavby dle podmínek zadavatele</t>
  </si>
  <si>
    <t>120</t>
  </si>
  <si>
    <t>0300011VRN</t>
  </si>
  <si>
    <t>Dílenská a výrobní dokumentace</t>
  </si>
  <si>
    <t>121</t>
  </si>
  <si>
    <t>0300012VRN</t>
  </si>
  <si>
    <t>Koordinační činnost pro jednotlivé profese vč. dokumentace</t>
  </si>
  <si>
    <t>122</t>
  </si>
  <si>
    <t>0300013VRN</t>
  </si>
  <si>
    <t>Zajištění kolaudace stavby včetně inženýrské činnosti</t>
  </si>
  <si>
    <t>Celkem:</t>
  </si>
  <si>
    <t>Poznámka:</t>
  </si>
  <si>
    <t>Popis rozpočtu - "Stavební úpravy objektů čerpací stanice a myčky vozidel - SAKO Brno, a.s., Černovická 15".
Rozpočet je zpracován z dokumentace pro provádění stavby.
a) veškeré položky, přípomoce, dopravu, montáž, zpevněné montážní plochy, atd... zahrnout do jednotlivých jednotkových cen.
b) součástí prací jsou veškeré zkoušky, potřebná měření, inspekce, uvedení zařízení do provozu, zaškolení obsluhy, provozní řády, manuály a revize v českém jazyce. Za komplexní vyzkoušení se považuje bezporuchový provoz po dobu minimálně 96 hod.
c) součástí dodávky je zpracování veškeré dílenské dokumentace a dokumentace skutečného provedení.
d) součástí dodávky je kompletní dokladová část díla nutná k získání kolaudačního souhlasu stavby.
e) v rozsahu prací zhotovitele jsou rovněž jakékoliv prvky, zařízení, práce a pomocné materiály, neuvedené v tomto soupisu výkonů, které jsou ale nezbytně nutné k dodání, instalaci, dokončení a provozování díla, včetně ztratného a prořezů.
f) součástí dodávky jsou veškerá geodetická měření jako například vytyčení konstrukcí, kontrolní měření, zaměření skutečného stavu a pod.
g) součástí dodávky jsou i náklady na případná opatření související s ochranou stávajících sítí, komunikací či staveb.
h) součástí jednotkových cen jsou i vícenáklady související s výstavbou v zimním období, průběžný úklid staveniště a přilehlých komunikací, likvidaci odpadů, dočasná dopravní omezení atd.
k) pokud se v dokumentaci vyskytují obchodní názvy, jedná se pouze o vymezení minimálních požadovaných standardů výrobku, technologie či materiálu a zadavatel připouští použití i jiného, kvalitativně či technologicky obdobného řešení, které spňuje minimální parametry uvedené ve specifikaci projektové dokumentace.
Nedílnou součástí výkazu výměr (slepého rozpočtu) je projektová dokumentace!!
Zpracovatel nabídky je povinen prověřit specifikace a výměry uvedené ve výkazu výměr.
V případě zjištěných rozdílů má na tyto rozdíly upozornit ve lhůtě pro podání nabídek prostřednictvím žádosti o dodatečné informace k zadávacím podmínkám. Uchazeč vyplní všechny položky soupisu prací.</t>
  </si>
  <si>
    <t>Stavební rozpočet - rekapitulace</t>
  </si>
  <si>
    <t>Náklady (Kč) - dodávka</t>
  </si>
  <si>
    <t>Náklady (Kč) - Montáž</t>
  </si>
  <si>
    <t>Náklady (Kč) - celkem</t>
  </si>
  <si>
    <t>Celková hmotnost (t)</t>
  </si>
  <si>
    <t>F</t>
  </si>
  <si>
    <t>T</t>
  </si>
  <si>
    <t>IČO/DIČ:</t>
  </si>
  <si>
    <t>60713470/</t>
  </si>
  <si>
    <t>06722865/</t>
  </si>
  <si>
    <t>Položek:</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</si>
  <si>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</si>
  <si>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</si>
  <si>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</si>
  <si>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</si>
  <si>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</si>
  <si>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</si>
  <si>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</si>
  <si>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</si>
  <si>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</si>
  <si>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</si>
  <si>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</si>
  <si>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</si>
  <si>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</si>
  <si>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</si>
  <si>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</si>
  <si>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</si>
  <si>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</si>
  <si>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</si>
  <si>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</si>
  <si>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</si>
  <si>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</si>
  <si>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</si>
  <si>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</si>
  <si>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</si>
  <si>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</si>
  <si>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</si>
  <si>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</si>
  <si>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</si>
  <si>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</si>
  <si>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</si>
  <si>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</si>
  <si>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</si>
  <si>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</si>
  <si>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</si>
  <si>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</si>
  <si>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</si>
  <si>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</si>
  <si>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</si>
  <si>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</si>
  <si>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</si>
  <si>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</si>
  <si>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Vedlejší rozpočtové náklady VRN</t>
  </si>
  <si>
    <t>Doplňkové náklady DN</t>
  </si>
  <si>
    <t>Kč</t>
  </si>
  <si>
    <t>%</t>
  </si>
  <si>
    <t>Základna</t>
  </si>
  <si>
    <t>Celkem DN</t>
  </si>
  <si>
    <t>Celkem NUS</t>
  </si>
  <si>
    <t>Celkem VRN</t>
  </si>
  <si>
    <t>Vedlejší a ostatní rozpočtové náklady VORN</t>
  </si>
  <si>
    <t>Ostatní rozpočtové náklady (VORN)</t>
  </si>
  <si>
    <t>Průzkumy, geodetické a projektové práce</t>
  </si>
  <si>
    <t>Příprava staveniště</t>
  </si>
  <si>
    <t>Finanční náklady</t>
  </si>
  <si>
    <t>Náklady na pracovníky</t>
  </si>
  <si>
    <t>Ostatní náklady</t>
  </si>
  <si>
    <t>Vlastní VORN</t>
  </si>
  <si>
    <t>Celkem VORN</t>
  </si>
  <si>
    <t>D.2.1a ASŘ – Zastřešení myčky</t>
  </si>
  <si>
    <t>D.2.1a ASŘ – Zastřešení myčky                                                                                              IO 231 Řešení zpevněných ploch SO05 - neveřejná účelová komunikace (chodníky, areálová komunikace, zatravněné plochy)</t>
  </si>
  <si>
    <t>SOUPIS STAVEBNÍCH PRACÍ, DODÁVEK A SLUŽEB S VÝKAZEM VÝMĚR</t>
  </si>
  <si>
    <t>Slepý stavební rozpočet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</si>
</sst>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charset val="1"/>
    </font>
    <font>
      <sz val="18"/>
      <color rgb="FF000000"/>
      <name val="Arial"/>
      <charset val="238"/>
    </font>
    <font>
      <b/>
      <sz val="10"/>
      <color rgb="FF000000"/>
      <name val="Arial"/>
      <charset val="238"/>
    </font>
    <font>
      <sz val="10"/>
      <color rgb="FF000000"/>
      <name val="Arial"/>
      <charset val="238"/>
    </font>
    <font>
      <i/>
      <sz val="10"/>
      <color rgb="FF000000"/>
      <name val="Arial"/>
      <charset val="238"/>
    </font>
    <font>
      <i/>
      <sz val="8"/>
      <color rgb="FF000000"/>
      <name val="Arial"/>
      <charset val="238"/>
    </font>
    <font>
      <b/>
      <sz val="18"/>
      <color rgb="FF000000"/>
      <name val="Arial"/>
      <charset val="238"/>
    </font>
    <font>
      <b/>
      <sz val="20"/>
      <color rgb="FF000000"/>
      <name val="Arial"/>
      <charset val="238"/>
    </font>
    <font>
      <b/>
      <sz val="11"/>
      <color rgb="FF000000"/>
      <name val="Arial"/>
      <charset val="238"/>
    </font>
    <font>
      <b/>
      <sz val="12"/>
      <color rgb="FF000000"/>
      <name val="Arial"/>
      <charset val="238"/>
    </font>
    <font>
      <sz val="12"/>
      <color rgb="FF000000"/>
      <name val="Arial"/>
      <charset val="238"/>
    </font>
    <font>
      <b/>
      <sz val="10"/>
      <color rgb="FF000000"/>
      <name val="Arial"/>
      <family val="2"/>
      <charset val="238"/>
    </font>
  </fonts>
  <fills count="4">
    <fill>
      <patternFill patternType="none"/>
    </fill>
    <fill>
      <patternFill patternType="gray125"/>
    </fill>
    <fill>
      <patternFill patternType="solid">
        <fgColor rgb="FFC0C0C0"/>
        <bgColor rgb="FFC0C0C0"/>
      </patternFill>
    </fill>
    <fill>
      <patternFill patternType="solid">
        <fgColor rgb="FFFFFFFF"/>
        <bgColor rgb="FFFFFFFF"/>
      </patternFill>
    </fill>
  </fills>
  <borders count="9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right/>
      <top style="medium">
        <color rgb="FF000000"/>
      </top>
      <bottom/>
      <diagonal/>
    </border>
    <border>
      <left style="thin">
        <color rgb="FF000000"/>
      </left>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thin">
        <color rgb="FF000000"/>
      </left>
      <right/>
      <top/>
      <bottom style="medium">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medium">
        <color rgb="FF000000"/>
      </left>
      <right style="thin">
        <color rgb="FF000000"/>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C0C0C0"/>
      </left>
      <right/>
      <top/>
      <bottom/>
      <diagonal/>
    </border>
    <border>
      <left/>
      <right/>
      <top/>
      <bottom/>
      <diagonal/>
    </border>
    <border>
      <left/>
      <right/>
      <top/>
      <bottom/>
      <diagonal/>
    </border>
    <border>
      <left/>
      <right/>
      <top/>
      <bottom/>
      <diagonal/>
    </border>
    <border>
      <left/>
      <right style="thin">
        <color rgb="FFC0C0C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202">
    <xf numFmtId="0" fontId="0" fillId="0" borderId="0" xfId="0"/>
    <xf numFmtId="4" fontId="2" fillId="2" borderId="0" xfId="0" applyNumberFormat="1" applyFont="1" applyFill="1" applyAlignment="1">
      <alignment horizontal="righ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0" xfId="0" applyFont="1" applyAlignment="1">
      <alignment horizontal="left" vertical="center" wrapText="1"/>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1"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9" xfId="0" applyFont="1" applyBorder="1" applyAlignment="1">
      <alignment horizontal="center" vertical="center"/>
    </xf>
    <xf numFmtId="0" fontId="2" fillId="0" borderId="22" xfId="0" applyFont="1" applyBorder="1" applyAlignment="1">
      <alignment horizontal="center"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2" fillId="0" borderId="27" xfId="0" applyFont="1" applyBorder="1" applyAlignment="1">
      <alignment horizontal="center" vertical="center"/>
    </xf>
    <xf numFmtId="0" fontId="3" fillId="0" borderId="28" xfId="0" applyFont="1" applyBorder="1" applyAlignment="1">
      <alignment horizontal="left"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3" fillId="2" borderId="36" xfId="0" applyFont="1" applyFill="1" applyBorder="1" applyAlignment="1">
      <alignment horizontal="left" vertical="center"/>
    </xf>
    <xf numFmtId="0" fontId="2" fillId="2" borderId="37" xfId="0" applyFont="1" applyFill="1" applyBorder="1" applyAlignment="1">
      <alignment horizontal="left" vertical="center"/>
    </xf>
    <xf numFmtId="0" fontId="3" fillId="2" borderId="37" xfId="0" applyFont="1" applyFill="1" applyBorder="1" applyAlignment="1">
      <alignment horizontal="left" vertical="center"/>
    </xf>
    <xf numFmtId="4" fontId="2" fillId="2" borderId="37" xfId="0" applyNumberFormat="1" applyFont="1" applyFill="1" applyBorder="1" applyAlignment="1">
      <alignment horizontal="right" vertical="center"/>
    </xf>
    <xf numFmtId="0" fontId="2" fillId="2" borderId="37" xfId="0" applyFont="1" applyFill="1" applyBorder="1" applyAlignment="1">
      <alignment horizontal="right" vertical="center"/>
    </xf>
    <xf numFmtId="0" fontId="2" fillId="2" borderId="38" xfId="0" applyFont="1" applyFill="1" applyBorder="1" applyAlignment="1">
      <alignment horizontal="right" vertical="center"/>
    </xf>
    <xf numFmtId="0" fontId="3" fillId="2" borderId="5" xfId="0" applyFont="1" applyFill="1" applyBorder="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vertical="center"/>
    </xf>
    <xf numFmtId="0" fontId="2" fillId="2" borderId="6" xfId="0" applyFont="1" applyFill="1" applyBorder="1" applyAlignment="1">
      <alignment horizontal="right" vertical="center"/>
    </xf>
    <xf numFmtId="4" fontId="3" fillId="0" borderId="0" xfId="0" applyNumberFormat="1" applyFont="1" applyAlignment="1">
      <alignment horizontal="right" vertical="center"/>
    </xf>
    <xf numFmtId="0" fontId="3" fillId="0" borderId="0" xfId="0" applyFont="1" applyAlignment="1">
      <alignment horizontal="right" vertical="center"/>
    </xf>
    <xf numFmtId="0" fontId="3" fillId="0" borderId="6" xfId="0" applyFont="1" applyBorder="1" applyAlignment="1">
      <alignment horizontal="right" vertical="center"/>
    </xf>
    <xf numFmtId="0" fontId="0" fillId="0" borderId="5" xfId="0" applyBorder="1"/>
    <xf numFmtId="0" fontId="4" fillId="0" borderId="0" xfId="0" applyFont="1" applyAlignment="1">
      <alignment horizontal="left" vertical="center"/>
    </xf>
    <xf numFmtId="4" fontId="4" fillId="0" borderId="0" xfId="0" applyNumberFormat="1" applyFont="1" applyAlignment="1">
      <alignment horizontal="right" vertical="center"/>
    </xf>
    <xf numFmtId="0" fontId="0" fillId="0" borderId="6" xfId="0" applyBorder="1"/>
    <xf numFmtId="0" fontId="3" fillId="2" borderId="39" xfId="0" applyFont="1" applyFill="1" applyBorder="1" applyAlignment="1">
      <alignment horizontal="left" vertical="center"/>
    </xf>
    <xf numFmtId="0" fontId="2" fillId="2" borderId="40" xfId="0" applyFont="1" applyFill="1" applyBorder="1" applyAlignment="1">
      <alignment horizontal="left" vertical="center"/>
    </xf>
    <xf numFmtId="0" fontId="3" fillId="2" borderId="40" xfId="0" applyFont="1" applyFill="1" applyBorder="1" applyAlignment="1">
      <alignment horizontal="left" vertical="center"/>
    </xf>
    <xf numFmtId="4" fontId="2" fillId="2" borderId="40" xfId="0" applyNumberFormat="1" applyFont="1" applyFill="1" applyBorder="1" applyAlignment="1">
      <alignment horizontal="right" vertical="center"/>
    </xf>
    <xf numFmtId="0" fontId="2" fillId="2" borderId="40" xfId="0" applyFont="1" applyFill="1" applyBorder="1" applyAlignment="1">
      <alignment horizontal="right" vertical="center"/>
    </xf>
    <xf numFmtId="0" fontId="2" fillId="2" borderId="41" xfId="0" applyFont="1" applyFill="1" applyBorder="1" applyAlignment="1">
      <alignment horizontal="right" vertical="center"/>
    </xf>
    <xf numFmtId="0" fontId="3" fillId="3" borderId="42" xfId="0" applyFont="1" applyFill="1" applyBorder="1" applyAlignment="1">
      <alignment horizontal="left" vertical="center"/>
    </xf>
    <xf numFmtId="0" fontId="3" fillId="3" borderId="43" xfId="0" applyFont="1" applyFill="1" applyBorder="1" applyAlignment="1">
      <alignment horizontal="left" vertical="center"/>
    </xf>
    <xf numFmtId="4" fontId="3" fillId="3" borderId="43" xfId="0" applyNumberFormat="1" applyFont="1" applyFill="1" applyBorder="1" applyAlignment="1">
      <alignment horizontal="right" vertical="center"/>
    </xf>
    <xf numFmtId="4" fontId="3" fillId="3" borderId="44" xfId="0" applyNumberFormat="1" applyFont="1" applyFill="1" applyBorder="1" applyAlignment="1">
      <alignment horizontal="right" vertical="center"/>
    </xf>
    <xf numFmtId="0" fontId="3" fillId="3" borderId="45" xfId="0" applyFont="1" applyFill="1" applyBorder="1" applyAlignment="1">
      <alignment horizontal="right" vertical="center"/>
    </xf>
    <xf numFmtId="0" fontId="3" fillId="3" borderId="46" xfId="0" applyFont="1" applyFill="1" applyBorder="1" applyAlignment="1">
      <alignment horizontal="right" vertical="center"/>
    </xf>
    <xf numFmtId="0" fontId="3" fillId="2" borderId="47" xfId="0" applyFont="1" applyFill="1" applyBorder="1" applyAlignment="1">
      <alignment horizontal="left" vertical="center"/>
    </xf>
    <xf numFmtId="0" fontId="2" fillId="2" borderId="48" xfId="0" applyFont="1" applyFill="1" applyBorder="1" applyAlignment="1">
      <alignment horizontal="left" vertical="center"/>
    </xf>
    <xf numFmtId="0" fontId="3" fillId="2" borderId="48" xfId="0" applyFont="1" applyFill="1" applyBorder="1" applyAlignment="1">
      <alignment horizontal="left" vertical="center"/>
    </xf>
    <xf numFmtId="4" fontId="2" fillId="2" borderId="48" xfId="0" applyNumberFormat="1" applyFont="1" applyFill="1" applyBorder="1" applyAlignment="1">
      <alignment horizontal="right" vertical="center"/>
    </xf>
    <xf numFmtId="0" fontId="2" fillId="2" borderId="48" xfId="0" applyFont="1" applyFill="1" applyBorder="1" applyAlignment="1">
      <alignment horizontal="right" vertical="center"/>
    </xf>
    <xf numFmtId="0" fontId="2" fillId="2" borderId="49" xfId="0" applyFont="1" applyFill="1" applyBorder="1" applyAlignment="1">
      <alignment horizontal="right" vertical="center"/>
    </xf>
    <xf numFmtId="0" fontId="3" fillId="0" borderId="50" xfId="0" applyFont="1" applyBorder="1" applyAlignment="1">
      <alignment horizontal="left" vertical="center"/>
    </xf>
    <xf numFmtId="0" fontId="3" fillId="0" borderId="51" xfId="0" applyFont="1" applyBorder="1" applyAlignment="1">
      <alignment horizontal="left" vertical="center"/>
    </xf>
    <xf numFmtId="4" fontId="3" fillId="0" borderId="51" xfId="0" applyNumberFormat="1" applyFont="1" applyBorder="1" applyAlignment="1">
      <alignment horizontal="right" vertical="center"/>
    </xf>
    <xf numFmtId="0" fontId="3" fillId="0" borderId="51" xfId="0" applyFont="1" applyBorder="1" applyAlignment="1">
      <alignment horizontal="right" vertical="center"/>
    </xf>
    <xf numFmtId="0" fontId="3" fillId="0" borderId="52" xfId="0" applyFont="1" applyBorder="1" applyAlignment="1">
      <alignment horizontal="right" vertical="center"/>
    </xf>
    <xf numFmtId="0" fontId="2" fillId="0" borderId="53" xfId="0" applyFont="1" applyBorder="1" applyAlignment="1">
      <alignment horizontal="left" vertical="center"/>
    </xf>
    <xf numFmtId="4" fontId="2" fillId="0" borderId="53" xfId="0" applyNumberFormat="1" applyFont="1" applyBorder="1" applyAlignment="1">
      <alignment horizontal="right" vertical="center"/>
    </xf>
    <xf numFmtId="0" fontId="5" fillId="0" borderId="0" xfId="0" applyFont="1" applyAlignment="1">
      <alignment horizontal="left" vertical="center"/>
    </xf>
    <xf numFmtId="0" fontId="2" fillId="0" borderId="54" xfId="0" applyFont="1" applyBorder="1" applyAlignment="1">
      <alignment horizontal="left" vertical="center"/>
    </xf>
    <xf numFmtId="0" fontId="2" fillId="0" borderId="55" xfId="0" applyFont="1" applyBorder="1" applyAlignment="1">
      <alignment horizontal="left" vertical="center"/>
    </xf>
    <xf numFmtId="0" fontId="2" fillId="0" borderId="56" xfId="0" applyFont="1" applyBorder="1" applyAlignment="1">
      <alignment horizontal="left"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3" fillId="0" borderId="58" xfId="0" applyFont="1" applyBorder="1" applyAlignment="1">
      <alignment horizontal="right" vertical="center"/>
    </xf>
    <xf numFmtId="4" fontId="3" fillId="0" borderId="6" xfId="0" applyNumberFormat="1" applyFont="1" applyBorder="1" applyAlignment="1">
      <alignment horizontal="right" vertical="center"/>
    </xf>
    <xf numFmtId="4" fontId="3" fillId="0" borderId="52" xfId="0" applyNumberFormat="1" applyFont="1" applyBorder="1" applyAlignment="1">
      <alignment horizontal="right" vertical="center"/>
    </xf>
    <xf numFmtId="0" fontId="7" fillId="2" borderId="60" xfId="0" applyFont="1" applyFill="1" applyBorder="1" applyAlignment="1">
      <alignment horizontal="center" vertical="center"/>
    </xf>
    <xf numFmtId="0" fontId="7" fillId="2" borderId="63" xfId="0" applyFont="1" applyFill="1" applyBorder="1" applyAlignment="1">
      <alignment horizontal="center" vertical="center"/>
    </xf>
    <xf numFmtId="0" fontId="9" fillId="0" borderId="64" xfId="0" applyFont="1" applyBorder="1" applyAlignment="1">
      <alignment horizontal="left" vertical="center"/>
    </xf>
    <xf numFmtId="0" fontId="10" fillId="0" borderId="65" xfId="0" applyFont="1" applyBorder="1" applyAlignment="1">
      <alignment horizontal="left" vertical="center"/>
    </xf>
    <xf numFmtId="4" fontId="10" fillId="0" borderId="65" xfId="0" applyNumberFormat="1" applyFont="1" applyBorder="1" applyAlignment="1">
      <alignment horizontal="right" vertical="center"/>
    </xf>
    <xf numFmtId="0" fontId="10" fillId="0" borderId="65" xfId="0" applyFont="1" applyBorder="1" applyAlignment="1">
      <alignment horizontal="right" vertical="center"/>
    </xf>
    <xf numFmtId="0" fontId="9" fillId="0" borderId="68" xfId="0" applyFont="1" applyBorder="1" applyAlignment="1">
      <alignment horizontal="left" vertical="center"/>
    </xf>
    <xf numFmtId="4" fontId="10" fillId="0" borderId="72" xfId="0" applyNumberFormat="1" applyFont="1" applyBorder="1" applyAlignment="1">
      <alignment horizontal="right" vertical="center"/>
    </xf>
    <xf numFmtId="0" fontId="10" fillId="0" borderId="72" xfId="0" applyFont="1" applyBorder="1" applyAlignment="1">
      <alignment horizontal="right" vertical="center"/>
    </xf>
    <xf numFmtId="4" fontId="10" fillId="0" borderId="63" xfId="0" applyNumberFormat="1" applyFont="1" applyBorder="1" applyAlignment="1">
      <alignment horizontal="right" vertical="center"/>
    </xf>
    <xf numFmtId="4" fontId="10" fillId="0" borderId="30" xfId="0" applyNumberFormat="1" applyFont="1" applyBorder="1" applyAlignment="1">
      <alignment horizontal="right" vertical="center"/>
    </xf>
    <xf numFmtId="4" fontId="9" fillId="2" borderId="62" xfId="0" applyNumberFormat="1" applyFont="1" applyFill="1" applyBorder="1" applyAlignment="1">
      <alignment horizontal="right" vertical="center"/>
    </xf>
    <xf numFmtId="4" fontId="9" fillId="2" borderId="67" xfId="0" applyNumberFormat="1" applyFont="1" applyFill="1" applyBorder="1" applyAlignment="1">
      <alignment horizontal="right" vertical="center"/>
    </xf>
    <xf numFmtId="0" fontId="5" fillId="0" borderId="37" xfId="0" applyFont="1" applyBorder="1" applyAlignment="1">
      <alignment horizontal="left" vertical="center"/>
    </xf>
    <xf numFmtId="0" fontId="2" fillId="0" borderId="19" xfId="0" applyFont="1" applyBorder="1" applyAlignment="1">
      <alignment horizontal="right" vertical="center"/>
    </xf>
    <xf numFmtId="4" fontId="3" fillId="0" borderId="65" xfId="0" applyNumberFormat="1" applyFont="1" applyBorder="1" applyAlignment="1">
      <alignment horizontal="right" vertical="center"/>
    </xf>
    <xf numFmtId="0" fontId="3" fillId="0" borderId="65" xfId="0" applyFont="1" applyBorder="1" applyAlignment="1">
      <alignment horizontal="left" vertical="center"/>
    </xf>
    <xf numFmtId="4" fontId="3" fillId="0" borderId="91" xfId="0" applyNumberFormat="1" applyFont="1" applyBorder="1" applyAlignment="1">
      <alignment horizontal="right" vertical="center"/>
    </xf>
    <xf numFmtId="0" fontId="3" fillId="0" borderId="91" xfId="0" applyFont="1" applyBorder="1" applyAlignment="1">
      <alignment horizontal="left" vertical="center"/>
    </xf>
    <xf numFmtId="0" fontId="2" fillId="0" borderId="95" xfId="0" applyFont="1" applyBorder="1" applyAlignment="1">
      <alignment horizontal="left" vertical="center"/>
    </xf>
    <xf numFmtId="0" fontId="2" fillId="0" borderId="95" xfId="0" applyFont="1" applyBorder="1" applyAlignment="1">
      <alignment horizontal="right" vertical="center"/>
    </xf>
    <xf numFmtId="4" fontId="2" fillId="0" borderId="95" xfId="0" applyNumberFormat="1" applyFont="1" applyBorder="1" applyAlignment="1">
      <alignment horizontal="righ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4" fontId="11" fillId="0" borderId="37" xfId="0" applyNumberFormat="1" applyFont="1" applyBorder="1" applyAlignment="1">
      <alignment horizontal="right" vertical="center"/>
    </xf>
    <xf numFmtId="4" fontId="11" fillId="0" borderId="38" xfId="0" applyNumberFormat="1" applyFont="1" applyBorder="1" applyAlignment="1">
      <alignment horizontal="right" vertical="center"/>
    </xf>
    <xf numFmtId="0" fontId="11" fillId="0" borderId="5" xfId="0" applyFont="1" applyBorder="1" applyAlignment="1">
      <alignment horizontal="left" vertical="center"/>
    </xf>
    <xf numFmtId="0" fontId="11" fillId="0" borderId="0" xfId="0" applyFont="1" applyAlignment="1">
      <alignment horizontal="left" vertical="center"/>
    </xf>
    <xf numFmtId="4" fontId="11" fillId="0" borderId="0" xfId="0" applyNumberFormat="1" applyFont="1" applyAlignment="1">
      <alignment horizontal="right" vertical="center"/>
    </xf>
    <xf numFmtId="4" fontId="11" fillId="0" borderId="6" xfId="0" applyNumberFormat="1" applyFont="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horizontal="left" vertical="center"/>
    </xf>
    <xf numFmtId="0" fontId="10" fillId="0" borderId="80" xfId="0" applyFont="1" applyBorder="1" applyAlignment="1">
      <alignment horizontal="left" vertical="center"/>
    </xf>
    <xf numFmtId="0" fontId="10" fillId="0" borderId="78" xfId="0" applyFont="1" applyBorder="1" applyAlignment="1">
      <alignment horizontal="left" vertical="center"/>
    </xf>
    <xf numFmtId="0" fontId="10" fillId="0" borderId="79" xfId="0" applyFont="1" applyBorder="1" applyAlignment="1">
      <alignment horizontal="left" vertical="center"/>
    </xf>
    <xf numFmtId="0" fontId="10" fillId="0" borderId="83" xfId="0" applyFont="1" applyBorder="1" applyAlignment="1">
      <alignment horizontal="left" vertical="center"/>
    </xf>
    <xf numFmtId="0" fontId="10" fillId="0" borderId="0" xfId="0" applyFont="1" applyAlignment="1">
      <alignment horizontal="left" vertical="center"/>
    </xf>
    <xf numFmtId="0" fontId="10" fillId="0" borderId="82" xfId="0" applyFont="1" applyBorder="1" applyAlignment="1">
      <alignment horizontal="left" vertical="center"/>
    </xf>
    <xf numFmtId="0" fontId="10" fillId="0" borderId="87" xfId="0" applyFont="1" applyBorder="1" applyAlignment="1">
      <alignment horizontal="left" vertical="center"/>
    </xf>
    <xf numFmtId="0" fontId="10" fillId="0" borderId="85" xfId="0" applyFont="1" applyBorder="1" applyAlignment="1">
      <alignment horizontal="left" vertical="center"/>
    </xf>
    <xf numFmtId="0" fontId="10" fillId="0" borderId="86" xfId="0" applyFont="1" applyBorder="1" applyAlignment="1">
      <alignment horizontal="left" vertical="center"/>
    </xf>
    <xf numFmtId="0" fontId="10" fillId="0" borderId="77" xfId="0" applyFont="1" applyBorder="1" applyAlignment="1">
      <alignment horizontal="left" vertical="center"/>
    </xf>
    <xf numFmtId="0" fontId="10" fillId="0" borderId="81" xfId="0" applyFont="1" applyBorder="1" applyAlignment="1">
      <alignment horizontal="left" vertical="center"/>
    </xf>
    <xf numFmtId="0" fontId="10" fillId="0" borderId="84" xfId="0" applyFont="1" applyBorder="1" applyAlignment="1">
      <alignment horizontal="left" vertical="center"/>
    </xf>
    <xf numFmtId="0" fontId="9" fillId="0" borderId="69" xfId="0" applyFont="1" applyBorder="1" applyAlignment="1">
      <alignment horizontal="left" vertical="center"/>
    </xf>
    <xf numFmtId="0" fontId="9" fillId="0" borderId="67" xfId="0" applyFont="1" applyBorder="1" applyAlignment="1">
      <alignment horizontal="left" vertical="center"/>
    </xf>
    <xf numFmtId="0" fontId="9" fillId="2" borderId="74" xfId="0" applyFont="1" applyFill="1" applyBorder="1" applyAlignment="1">
      <alignment horizontal="left" vertical="center"/>
    </xf>
    <xf numFmtId="0" fontId="9" fillId="2" borderId="75" xfId="0" applyFont="1" applyFill="1" applyBorder="1" applyAlignment="1">
      <alignment horizontal="left" vertical="center"/>
    </xf>
    <xf numFmtId="0" fontId="9" fillId="2" borderId="69" xfId="0" applyFont="1" applyFill="1" applyBorder="1" applyAlignment="1">
      <alignment horizontal="left" vertical="center"/>
    </xf>
    <xf numFmtId="0" fontId="9" fillId="2" borderId="76" xfId="0" applyFont="1" applyFill="1" applyBorder="1" applyAlignment="1">
      <alignment horizontal="left" vertical="center"/>
    </xf>
    <xf numFmtId="0" fontId="9" fillId="2" borderId="61" xfId="0" applyFont="1" applyFill="1" applyBorder="1" applyAlignment="1">
      <alignment horizontal="left" vertical="center"/>
    </xf>
    <xf numFmtId="0" fontId="9" fillId="2" borderId="66" xfId="0" applyFont="1" applyFill="1" applyBorder="1" applyAlignment="1">
      <alignment horizontal="left" vertical="center"/>
    </xf>
    <xf numFmtId="0" fontId="10" fillId="0" borderId="66" xfId="0" applyFont="1" applyBorder="1" applyAlignment="1">
      <alignment horizontal="left" vertical="center"/>
    </xf>
    <xf numFmtId="0" fontId="10" fillId="0" borderId="67" xfId="0" applyFont="1" applyBorder="1" applyAlignment="1">
      <alignment horizontal="left" vertical="center"/>
    </xf>
    <xf numFmtId="0" fontId="10" fillId="0" borderId="73" xfId="0" applyFont="1" applyBorder="1" applyAlignment="1">
      <alignment horizontal="left" vertical="center"/>
    </xf>
    <xf numFmtId="0" fontId="10" fillId="0" borderId="71" xfId="0" applyFont="1" applyBorder="1" applyAlignment="1">
      <alignment horizontal="left" vertical="center"/>
    </xf>
    <xf numFmtId="0" fontId="9" fillId="0" borderId="61" xfId="0" applyFont="1" applyBorder="1" applyAlignment="1">
      <alignment horizontal="left" vertical="center"/>
    </xf>
    <xf numFmtId="0" fontId="9" fillId="0" borderId="62" xfId="0" applyFont="1" applyBorder="1" applyAlignment="1">
      <alignment horizontal="left" vertical="center"/>
    </xf>
    <xf numFmtId="0" fontId="9" fillId="0" borderId="66" xfId="0" applyFont="1" applyBorder="1" applyAlignment="1">
      <alignment horizontal="left" vertical="center"/>
    </xf>
    <xf numFmtId="0" fontId="9" fillId="0" borderId="70" xfId="0" applyFont="1" applyBorder="1" applyAlignment="1">
      <alignment horizontal="left" vertical="center"/>
    </xf>
    <xf numFmtId="0" fontId="9" fillId="0" borderId="71" xfId="0" applyFont="1" applyBorder="1" applyAlignment="1">
      <alignment horizontal="left" vertical="center"/>
    </xf>
    <xf numFmtId="0" fontId="9" fillId="0" borderId="74" xfId="0" applyFont="1" applyBorder="1" applyAlignment="1">
      <alignment horizontal="left" vertical="center"/>
    </xf>
    <xf numFmtId="0" fontId="3" fillId="0" borderId="6" xfId="0" applyFont="1" applyBorder="1" applyAlignment="1">
      <alignment horizontal="left" vertical="center" wrapText="1"/>
    </xf>
    <xf numFmtId="0" fontId="3" fillId="0" borderId="52" xfId="0" applyFont="1" applyBorder="1" applyAlignment="1">
      <alignment horizontal="left" vertical="center"/>
    </xf>
    <xf numFmtId="0" fontId="6" fillId="0" borderId="59" xfId="0" applyFont="1" applyBorder="1" applyAlignment="1">
      <alignment horizontal="center" vertical="center"/>
    </xf>
    <xf numFmtId="0" fontId="8" fillId="0" borderId="61" xfId="0" applyFont="1" applyBorder="1" applyAlignment="1">
      <alignment horizontal="left" vertical="center"/>
    </xf>
    <xf numFmtId="0" fontId="8" fillId="0" borderId="62" xfId="0" applyFont="1" applyBorder="1" applyAlignment="1">
      <alignment horizontal="left" vertical="center"/>
    </xf>
    <xf numFmtId="0" fontId="3" fillId="0" borderId="51" xfId="0" applyFont="1" applyBorder="1" applyAlignment="1">
      <alignment horizontal="left" vertical="center"/>
    </xf>
    <xf numFmtId="0" fontId="3" fillId="0" borderId="5" xfId="0" applyFont="1" applyBorder="1" applyAlignment="1">
      <alignment horizontal="left" vertical="center" wrapText="1"/>
    </xf>
    <xf numFmtId="0" fontId="3" fillId="0" borderId="50" xfId="0" applyFont="1" applyBorder="1" applyAlignment="1">
      <alignment horizontal="left" vertical="center"/>
    </xf>
    <xf numFmtId="0" fontId="3" fillId="0" borderId="3"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1" fontId="3" fillId="0" borderId="6" xfId="0" applyNumberFormat="1" applyFont="1" applyBorder="1" applyAlignment="1">
      <alignment horizontal="left" vertical="center"/>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0" xfId="0" applyFont="1" applyAlignment="1">
      <alignment horizontal="left" vertical="center"/>
    </xf>
    <xf numFmtId="0" fontId="3" fillId="0" borderId="4" xfId="0" applyFont="1" applyBorder="1" applyAlignment="1">
      <alignment horizontal="left" vertical="center" wrapText="1"/>
    </xf>
    <xf numFmtId="0" fontId="3" fillId="0" borderId="9" xfId="0" applyFont="1" applyBorder="1" applyAlignment="1">
      <alignment horizontal="left" vertical="center"/>
    </xf>
    <xf numFmtId="0" fontId="3" fillId="0" borderId="8" xfId="0" applyFont="1" applyBorder="1" applyAlignment="1">
      <alignment horizontal="left" vertical="center"/>
    </xf>
    <xf numFmtId="0" fontId="3" fillId="0" borderId="7" xfId="0" applyFont="1" applyBorder="1" applyAlignment="1">
      <alignment horizontal="left" vertical="center"/>
    </xf>
    <xf numFmtId="0" fontId="3" fillId="0" borderId="51" xfId="0" applyFont="1" applyBorder="1" applyAlignment="1">
      <alignment horizontal="left" vertical="center" wrapText="1"/>
    </xf>
    <xf numFmtId="0" fontId="2" fillId="0" borderId="53" xfId="0" applyFont="1" applyBorder="1" applyAlignment="1">
      <alignment horizontal="left" vertical="center"/>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3" fillId="3" borderId="43" xfId="0" applyFont="1" applyFill="1" applyBorder="1" applyAlignment="1">
      <alignment horizontal="left" vertical="center" wrapText="1"/>
    </xf>
    <xf numFmtId="0" fontId="3" fillId="3" borderId="43" xfId="0" applyFont="1" applyFill="1" applyBorder="1" applyAlignment="1">
      <alignment horizontal="left" vertical="center"/>
    </xf>
    <xf numFmtId="0" fontId="2" fillId="2" borderId="48" xfId="0" applyFont="1" applyFill="1" applyBorder="1" applyAlignment="1">
      <alignment horizontal="left" vertical="center" wrapText="1"/>
    </xf>
    <xf numFmtId="0" fontId="2" fillId="2" borderId="48" xfId="0" applyFont="1" applyFill="1" applyBorder="1" applyAlignment="1">
      <alignment horizontal="left" vertical="center"/>
    </xf>
    <xf numFmtId="0" fontId="2" fillId="2" borderId="40" xfId="0" applyFont="1" applyFill="1" applyBorder="1" applyAlignment="1">
      <alignment horizontal="left" vertical="center" wrapText="1"/>
    </xf>
    <xf numFmtId="0" fontId="2" fillId="2" borderId="40" xfId="0" applyFont="1" applyFill="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2" borderId="37" xfId="0" applyFont="1" applyFill="1" applyBorder="1" applyAlignment="1">
      <alignment horizontal="left" vertical="center" wrapText="1"/>
    </xf>
    <xf numFmtId="0" fontId="2" fillId="2" borderId="37" xfId="0" applyFont="1" applyFill="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3" fillId="0" borderId="69" xfId="0" applyFont="1" applyBorder="1" applyAlignment="1">
      <alignment horizontal="left" vertical="center"/>
    </xf>
    <xf numFmtId="0" fontId="3" fillId="0" borderId="76" xfId="0" applyFont="1" applyBorder="1" applyAlignment="1">
      <alignment horizontal="left" vertical="center"/>
    </xf>
    <xf numFmtId="0" fontId="3" fillId="0" borderId="67" xfId="0" applyFont="1" applyBorder="1" applyAlignment="1">
      <alignment horizontal="left" vertical="center"/>
    </xf>
    <xf numFmtId="0" fontId="3" fillId="0" borderId="88" xfId="0" applyFont="1" applyBorder="1" applyAlignment="1">
      <alignment horizontal="left" vertical="center"/>
    </xf>
    <xf numFmtId="0" fontId="3" fillId="0" borderId="89" xfId="0" applyFont="1" applyBorder="1" applyAlignment="1">
      <alignment horizontal="left" vertical="center"/>
    </xf>
    <xf numFmtId="0" fontId="3" fillId="0" borderId="90" xfId="0" applyFont="1" applyBorder="1" applyAlignment="1">
      <alignment horizontal="left" vertical="center"/>
    </xf>
    <xf numFmtId="0" fontId="2" fillId="0" borderId="92" xfId="0" applyFont="1" applyBorder="1" applyAlignment="1">
      <alignment horizontal="left" vertical="center"/>
    </xf>
    <xf numFmtId="0" fontId="2" fillId="0" borderId="93" xfId="0" applyFont="1" applyBorder="1" applyAlignment="1">
      <alignment horizontal="left" vertical="center"/>
    </xf>
    <xf numFmtId="0" fontId="2" fillId="0" borderId="94" xfId="0" applyFont="1" applyBorder="1" applyAlignment="1">
      <alignment horizontal="left" vertical="center"/>
    </xf>
    <xf numFmtId="0" fontId="9" fillId="0" borderId="92" xfId="0" applyFont="1" applyBorder="1" applyAlignment="1">
      <alignment horizontal="left" vertical="center"/>
    </xf>
    <xf numFmtId="0" fontId="9" fillId="0" borderId="93" xfId="0" applyFont="1" applyBorder="1" applyAlignment="1">
      <alignment horizontal="left" vertical="center"/>
    </xf>
    <xf numFmtId="0" fontId="9" fillId="0" borderId="94" xfId="0" applyFont="1" applyBorder="1" applyAlignment="1">
      <alignment horizontal="left" vertical="center"/>
    </xf>
    <xf numFmtId="4" fontId="9" fillId="0" borderId="96" xfId="0" applyNumberFormat="1" applyFont="1" applyBorder="1" applyAlignment="1">
      <alignment horizontal="right" vertical="center"/>
    </xf>
    <xf numFmtId="0" fontId="9" fillId="0" borderId="93" xfId="0" applyFont="1" applyBorder="1" applyAlignment="1">
      <alignment horizontal="right" vertical="center"/>
    </xf>
    <xf numFmtId="0" fontId="9" fillId="0" borderId="94" xfId="0" applyFont="1" applyBorder="1" applyAlignment="1">
      <alignment horizontal="right" vertical="center"/>
    </xf>
    <xf numFmtId="0" fontId="9" fillId="0" borderId="8"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7"/>
  <sheetViews>
    <sheetView workbookViewId="0">
      <selection sqref="A1:I1"/>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147" t="s">
        <v>822</v>
      </c>
      <c r="B1" s="148"/>
      <c r="C1" s="148"/>
      <c r="D1" s="148"/>
      <c r="E1" s="148"/>
      <c r="F1" s="148"/>
      <c r="G1" s="148"/>
      <c r="H1" s="148"/>
      <c r="I1" s="148"/>
    </row>
    <row r="2" spans="1:9" x14ac:dyDescent="0.25">
      <c r="A2" s="149" t="s">
        <v>0</v>
      </c>
      <c r="B2" s="150"/>
      <c r="C2" s="155" t="str">
        <f>'Stavební rozpočet'!D2</f>
        <v>"Stavební úpravy objektů čerpací stanice a myčky vozidel - SAKO Brno, a.s., Černovická 15"</v>
      </c>
      <c r="D2" s="156"/>
      <c r="E2" s="146" t="s">
        <v>4</v>
      </c>
      <c r="F2" s="146" t="str">
        <f>'Stavební rozpočet'!J2</f>
        <v>SAKO Brno, a.s., Jedovnická 4247/2, Židenice, 628</v>
      </c>
      <c r="G2" s="150"/>
      <c r="H2" s="146" t="s">
        <v>758</v>
      </c>
      <c r="I2" s="152" t="s">
        <v>759</v>
      </c>
    </row>
    <row r="3" spans="1:9" ht="25.5" customHeight="1" x14ac:dyDescent="0.25">
      <c r="A3" s="151"/>
      <c r="B3" s="107"/>
      <c r="C3" s="157"/>
      <c r="D3" s="157"/>
      <c r="E3" s="107"/>
      <c r="F3" s="107"/>
      <c r="G3" s="107"/>
      <c r="H3" s="107"/>
      <c r="I3" s="153"/>
    </row>
    <row r="4" spans="1:9" x14ac:dyDescent="0.25">
      <c r="A4" s="144" t="s">
        <v>6</v>
      </c>
      <c r="B4" s="107"/>
      <c r="C4" s="106" t="str">
        <f>'Stavební rozpočet'!D4</f>
        <v>D.2.1a ASŘ – Zastřešení myčky                                                                                              IO 231 Řešení zpevněných ploch SO05 - neveřejná účelová komunikace (chodníky, areálová komunikace, zatravněné plochy)</v>
      </c>
      <c r="D4" s="107"/>
      <c r="E4" s="106" t="s">
        <v>8</v>
      </c>
      <c r="F4" s="106" t="str">
        <f>'Stavební rozpočet'!J4</f>
        <v>GARANT projekt s.r.o.,</v>
      </c>
      <c r="G4" s="107"/>
      <c r="H4" s="106" t="s">
        <v>758</v>
      </c>
      <c r="I4" s="153" t="s">
        <v>760</v>
      </c>
    </row>
    <row r="5" spans="1:9" ht="54" customHeight="1" x14ac:dyDescent="0.25">
      <c r="A5" s="151"/>
      <c r="B5" s="107"/>
      <c r="C5" s="107"/>
      <c r="D5" s="107"/>
      <c r="E5" s="107"/>
      <c r="F5" s="107"/>
      <c r="G5" s="107"/>
      <c r="H5" s="107"/>
      <c r="I5" s="153"/>
    </row>
    <row r="6" spans="1:9" x14ac:dyDescent="0.25">
      <c r="A6" s="144" t="s">
        <v>10</v>
      </c>
      <c r="B6" s="107"/>
      <c r="C6" s="106" t="str">
        <f>'Stavební rozpočet'!D6</f>
        <v>SAKO Brno, Černovická 454/15, Komárov, 617 00 Brno Jih</v>
      </c>
      <c r="D6" s="107"/>
      <c r="E6" s="106" t="s">
        <v>13</v>
      </c>
      <c r="F6" s="106" t="str">
        <f>'Stavební rozpočet'!J6</f>
        <v>-</v>
      </c>
      <c r="G6" s="107"/>
      <c r="H6" s="106" t="s">
        <v>758</v>
      </c>
      <c r="I6" s="153" t="s">
        <v>54</v>
      </c>
    </row>
    <row r="7" spans="1:9" ht="15" customHeight="1" x14ac:dyDescent="0.25">
      <c r="A7" s="151"/>
      <c r="B7" s="107"/>
      <c r="C7" s="107"/>
      <c r="D7" s="107"/>
      <c r="E7" s="107"/>
      <c r="F7" s="107"/>
      <c r="G7" s="107"/>
      <c r="H7" s="107"/>
      <c r="I7" s="153"/>
    </row>
    <row r="8" spans="1:9" x14ac:dyDescent="0.25">
      <c r="A8" s="144" t="s">
        <v>7</v>
      </c>
      <c r="B8" s="107"/>
      <c r="C8" s="106">
        <f>'Stavební rozpočet'!H4</f>
        <v>0</v>
      </c>
      <c r="D8" s="107"/>
      <c r="E8" s="106" t="s">
        <v>12</v>
      </c>
      <c r="F8" s="106" t="str">
        <f>'Stavební rozpočet'!H6</f>
        <v xml:space="preserve"> </v>
      </c>
      <c r="G8" s="107"/>
      <c r="H8" s="107" t="s">
        <v>761</v>
      </c>
      <c r="I8" s="154">
        <v>122</v>
      </c>
    </row>
    <row r="9" spans="1:9" x14ac:dyDescent="0.25">
      <c r="A9" s="151"/>
      <c r="B9" s="107"/>
      <c r="C9" s="107"/>
      <c r="D9" s="107"/>
      <c r="E9" s="107"/>
      <c r="F9" s="107"/>
      <c r="G9" s="107"/>
      <c r="H9" s="107"/>
      <c r="I9" s="153"/>
    </row>
    <row r="10" spans="1:9" x14ac:dyDescent="0.25">
      <c r="A10" s="144" t="s">
        <v>15</v>
      </c>
      <c r="B10" s="107"/>
      <c r="C10" s="106" t="str">
        <f>'Stavební rozpočet'!D8</f>
        <v>8115171</v>
      </c>
      <c r="D10" s="107"/>
      <c r="E10" s="106" t="s">
        <v>19</v>
      </c>
      <c r="F10" s="106" t="str">
        <f>'Stavební rozpočet'!J8</f>
        <v>GARANT projekt s.r.o.,</v>
      </c>
      <c r="G10" s="107"/>
      <c r="H10" s="107" t="s">
        <v>762</v>
      </c>
      <c r="I10" s="138" t="str">
        <f>'Stavební rozpočet'!H8</f>
        <v>18.06.2024</v>
      </c>
    </row>
    <row r="11" spans="1:9" x14ac:dyDescent="0.25">
      <c r="A11" s="145"/>
      <c r="B11" s="143"/>
      <c r="C11" s="143"/>
      <c r="D11" s="143"/>
      <c r="E11" s="143"/>
      <c r="F11" s="143"/>
      <c r="G11" s="143"/>
      <c r="H11" s="143"/>
      <c r="I11" s="139"/>
    </row>
    <row r="12" spans="1:9" ht="23.25" x14ac:dyDescent="0.25">
      <c r="A12" s="140" t="s">
        <v>763</v>
      </c>
      <c r="B12" s="140"/>
      <c r="C12" s="140"/>
      <c r="D12" s="140"/>
      <c r="E12" s="140"/>
      <c r="F12" s="140"/>
      <c r="G12" s="140"/>
      <c r="H12" s="140"/>
      <c r="I12" s="140"/>
    </row>
    <row r="13" spans="1:9" ht="26.25" customHeight="1" x14ac:dyDescent="0.25">
      <c r="A13" s="76" t="s">
        <v>764</v>
      </c>
      <c r="B13" s="141" t="s">
        <v>765</v>
      </c>
      <c r="C13" s="142"/>
      <c r="D13" s="77" t="s">
        <v>766</v>
      </c>
      <c r="E13" s="141" t="s">
        <v>767</v>
      </c>
      <c r="F13" s="142"/>
      <c r="G13" s="77" t="s">
        <v>768</v>
      </c>
      <c r="H13" s="141" t="s">
        <v>769</v>
      </c>
      <c r="I13" s="142"/>
    </row>
    <row r="14" spans="1:9" ht="15.75" x14ac:dyDescent="0.25">
      <c r="A14" s="78" t="s">
        <v>770</v>
      </c>
      <c r="B14" s="79" t="s">
        <v>771</v>
      </c>
      <c r="C14" s="80">
        <f>SUM('Stavební rozpočet'!AB12:AB396)</f>
        <v>0</v>
      </c>
      <c r="D14" s="128" t="s">
        <v>772</v>
      </c>
      <c r="E14" s="129"/>
      <c r="F14" s="80">
        <f>VORN!I15</f>
        <v>0</v>
      </c>
      <c r="G14" s="128" t="s">
        <v>773</v>
      </c>
      <c r="H14" s="129"/>
      <c r="I14" s="81">
        <f>VORN!I21</f>
        <v>0</v>
      </c>
    </row>
    <row r="15" spans="1:9" ht="15.75" x14ac:dyDescent="0.25">
      <c r="A15" s="82" t="s">
        <v>54</v>
      </c>
      <c r="B15" s="79" t="s">
        <v>37</v>
      </c>
      <c r="C15" s="80">
        <f>SUM('Stavební rozpočet'!AC12:AC396)</f>
        <v>0</v>
      </c>
      <c r="D15" s="128" t="s">
        <v>774</v>
      </c>
      <c r="E15" s="129"/>
      <c r="F15" s="80">
        <f>VORN!I16</f>
        <v>0</v>
      </c>
      <c r="G15" s="128" t="s">
        <v>775</v>
      </c>
      <c r="H15" s="129"/>
      <c r="I15" s="81">
        <f>VORN!I22</f>
        <v>0</v>
      </c>
    </row>
    <row r="16" spans="1:9" ht="15.75" x14ac:dyDescent="0.25">
      <c r="A16" s="78" t="s">
        <v>776</v>
      </c>
      <c r="B16" s="79" t="s">
        <v>771</v>
      </c>
      <c r="C16" s="80">
        <f>SUM('Stavební rozpočet'!AD12:AD396)</f>
        <v>0</v>
      </c>
      <c r="D16" s="128" t="s">
        <v>777</v>
      </c>
      <c r="E16" s="129"/>
      <c r="F16" s="80">
        <f>VORN!I17</f>
        <v>0</v>
      </c>
      <c r="G16" s="128" t="s">
        <v>778</v>
      </c>
      <c r="H16" s="129"/>
      <c r="I16" s="81">
        <f>VORN!I23</f>
        <v>0</v>
      </c>
    </row>
    <row r="17" spans="1:9" ht="15.75" x14ac:dyDescent="0.25">
      <c r="A17" s="82" t="s">
        <v>54</v>
      </c>
      <c r="B17" s="79" t="s">
        <v>37</v>
      </c>
      <c r="C17" s="80">
        <f>SUM('Stavební rozpočet'!AE12:AE396)</f>
        <v>0</v>
      </c>
      <c r="D17" s="128" t="s">
        <v>54</v>
      </c>
      <c r="E17" s="129"/>
      <c r="F17" s="81" t="s">
        <v>54</v>
      </c>
      <c r="G17" s="128" t="s">
        <v>779</v>
      </c>
      <c r="H17" s="129"/>
      <c r="I17" s="81">
        <f>VORN!I24</f>
        <v>0</v>
      </c>
    </row>
    <row r="18" spans="1:9" ht="15.75" x14ac:dyDescent="0.25">
      <c r="A18" s="78" t="s">
        <v>780</v>
      </c>
      <c r="B18" s="79" t="s">
        <v>771</v>
      </c>
      <c r="C18" s="80">
        <f>SUM('Stavební rozpočet'!AF12:AF396)</f>
        <v>0</v>
      </c>
      <c r="D18" s="128" t="s">
        <v>54</v>
      </c>
      <c r="E18" s="129"/>
      <c r="F18" s="81" t="s">
        <v>54</v>
      </c>
      <c r="G18" s="128" t="s">
        <v>781</v>
      </c>
      <c r="H18" s="129"/>
      <c r="I18" s="81">
        <f>VORN!I25</f>
        <v>0</v>
      </c>
    </row>
    <row r="19" spans="1:9" ht="15.75" x14ac:dyDescent="0.25">
      <c r="A19" s="82" t="s">
        <v>54</v>
      </c>
      <c r="B19" s="79" t="s">
        <v>37</v>
      </c>
      <c r="C19" s="80">
        <f>SUM('Stavební rozpočet'!AG12:AG396)</f>
        <v>0</v>
      </c>
      <c r="D19" s="128" t="s">
        <v>54</v>
      </c>
      <c r="E19" s="129"/>
      <c r="F19" s="81" t="s">
        <v>54</v>
      </c>
      <c r="G19" s="128" t="s">
        <v>782</v>
      </c>
      <c r="H19" s="129"/>
      <c r="I19" s="81">
        <f>VORN!I26</f>
        <v>0</v>
      </c>
    </row>
    <row r="20" spans="1:9" ht="15.75" x14ac:dyDescent="0.25">
      <c r="A20" s="120" t="s">
        <v>783</v>
      </c>
      <c r="B20" s="121"/>
      <c r="C20" s="80">
        <f>SUM('Stavební rozpočet'!AH12:AH396)</f>
        <v>0</v>
      </c>
      <c r="D20" s="128" t="s">
        <v>54</v>
      </c>
      <c r="E20" s="129"/>
      <c r="F20" s="81" t="s">
        <v>54</v>
      </c>
      <c r="G20" s="128" t="s">
        <v>54</v>
      </c>
      <c r="H20" s="129"/>
      <c r="I20" s="81" t="s">
        <v>54</v>
      </c>
    </row>
    <row r="21" spans="1:9" ht="15.75" x14ac:dyDescent="0.25">
      <c r="A21" s="135" t="s">
        <v>784</v>
      </c>
      <c r="B21" s="136"/>
      <c r="C21" s="83">
        <f>SUM('Stavební rozpočet'!Z12:Z396)</f>
        <v>0</v>
      </c>
      <c r="D21" s="130" t="s">
        <v>54</v>
      </c>
      <c r="E21" s="131"/>
      <c r="F21" s="84" t="s">
        <v>54</v>
      </c>
      <c r="G21" s="130" t="s">
        <v>54</v>
      </c>
      <c r="H21" s="131"/>
      <c r="I21" s="84" t="s">
        <v>54</v>
      </c>
    </row>
    <row r="22" spans="1:9" ht="16.5" customHeight="1" x14ac:dyDescent="0.25">
      <c r="A22" s="137" t="s">
        <v>785</v>
      </c>
      <c r="B22" s="133"/>
      <c r="C22" s="85">
        <f>SUM(C14:C21)</f>
        <v>0</v>
      </c>
      <c r="D22" s="132" t="s">
        <v>786</v>
      </c>
      <c r="E22" s="133"/>
      <c r="F22" s="85">
        <f>SUM(F14:F21)</f>
        <v>0</v>
      </c>
      <c r="G22" s="132" t="s">
        <v>787</v>
      </c>
      <c r="H22" s="133"/>
      <c r="I22" s="85">
        <f>SUM(I14:I21)</f>
        <v>0</v>
      </c>
    </row>
    <row r="23" spans="1:9" ht="15.75" x14ac:dyDescent="0.25">
      <c r="D23" s="120" t="s">
        <v>788</v>
      </c>
      <c r="E23" s="121"/>
      <c r="F23" s="86">
        <v>0</v>
      </c>
      <c r="G23" s="134" t="s">
        <v>789</v>
      </c>
      <c r="H23" s="121"/>
      <c r="I23" s="80">
        <v>0</v>
      </c>
    </row>
    <row r="24" spans="1:9" ht="15.75" x14ac:dyDescent="0.25">
      <c r="G24" s="120" t="s">
        <v>790</v>
      </c>
      <c r="H24" s="121"/>
      <c r="I24" s="80">
        <f>vorn_sum</f>
        <v>0</v>
      </c>
    </row>
    <row r="25" spans="1:9" ht="15.75" x14ac:dyDescent="0.25">
      <c r="G25" s="120" t="s">
        <v>791</v>
      </c>
      <c r="H25" s="121"/>
      <c r="I25" s="80">
        <v>250000</v>
      </c>
    </row>
    <row r="27" spans="1:9" ht="15.75" x14ac:dyDescent="0.25">
      <c r="A27" s="122" t="s">
        <v>792</v>
      </c>
      <c r="B27" s="123"/>
      <c r="C27" s="87">
        <f>SUM('Stavební rozpočet'!AJ12:AJ396)</f>
        <v>0</v>
      </c>
    </row>
    <row r="28" spans="1:9" ht="15.75" x14ac:dyDescent="0.25">
      <c r="A28" s="124" t="s">
        <v>793</v>
      </c>
      <c r="B28" s="125"/>
      <c r="C28" s="88">
        <f>SUM('Stavební rozpočet'!AK12:AK396)</f>
        <v>0</v>
      </c>
      <c r="D28" s="126" t="s">
        <v>794</v>
      </c>
      <c r="E28" s="123"/>
      <c r="F28" s="87">
        <f>ROUND(C28*(12/100),2)</f>
        <v>0</v>
      </c>
      <c r="G28" s="126" t="s">
        <v>795</v>
      </c>
      <c r="H28" s="123"/>
      <c r="I28" s="87">
        <f>SUM(C27:C29)</f>
        <v>0</v>
      </c>
    </row>
    <row r="29" spans="1:9" ht="15.75" x14ac:dyDescent="0.25">
      <c r="A29" s="124" t="s">
        <v>796</v>
      </c>
      <c r="B29" s="125"/>
      <c r="C29" s="88">
        <f>SUM('Stavební rozpočet'!AL12:AL396)</f>
        <v>0</v>
      </c>
      <c r="D29" s="127" t="s">
        <v>797</v>
      </c>
      <c r="E29" s="125"/>
      <c r="F29" s="88">
        <f>ROUND(C29*(21/100),2)</f>
        <v>0</v>
      </c>
      <c r="G29" s="127" t="s">
        <v>798</v>
      </c>
      <c r="H29" s="125"/>
      <c r="I29" s="88">
        <f>SUM(F28:F29)+I28</f>
        <v>0</v>
      </c>
    </row>
    <row r="31" spans="1:9" x14ac:dyDescent="0.25">
      <c r="A31" s="117" t="s">
        <v>799</v>
      </c>
      <c r="B31" s="109"/>
      <c r="C31" s="110"/>
      <c r="D31" s="108" t="s">
        <v>800</v>
      </c>
      <c r="E31" s="109"/>
      <c r="F31" s="110"/>
      <c r="G31" s="108" t="s">
        <v>801</v>
      </c>
      <c r="H31" s="109"/>
      <c r="I31" s="110"/>
    </row>
    <row r="32" spans="1:9" x14ac:dyDescent="0.25">
      <c r="A32" s="118" t="s">
        <v>54</v>
      </c>
      <c r="B32" s="112"/>
      <c r="C32" s="113"/>
      <c r="D32" s="111" t="s">
        <v>54</v>
      </c>
      <c r="E32" s="112"/>
      <c r="F32" s="113"/>
      <c r="G32" s="111" t="s">
        <v>54</v>
      </c>
      <c r="H32" s="112"/>
      <c r="I32" s="113"/>
    </row>
    <row r="33" spans="1:9" x14ac:dyDescent="0.25">
      <c r="A33" s="118" t="s">
        <v>54</v>
      </c>
      <c r="B33" s="112"/>
      <c r="C33" s="113"/>
      <c r="D33" s="111" t="s">
        <v>54</v>
      </c>
      <c r="E33" s="112"/>
      <c r="F33" s="113"/>
      <c r="G33" s="111" t="s">
        <v>54</v>
      </c>
      <c r="H33" s="112"/>
      <c r="I33" s="113"/>
    </row>
    <row r="34" spans="1:9" x14ac:dyDescent="0.25">
      <c r="A34" s="118" t="s">
        <v>54</v>
      </c>
      <c r="B34" s="112"/>
      <c r="C34" s="113"/>
      <c r="D34" s="111" t="s">
        <v>54</v>
      </c>
      <c r="E34" s="112"/>
      <c r="F34" s="113"/>
      <c r="G34" s="111" t="s">
        <v>54</v>
      </c>
      <c r="H34" s="112"/>
      <c r="I34" s="113"/>
    </row>
    <row r="35" spans="1:9" x14ac:dyDescent="0.25">
      <c r="A35" s="119" t="s">
        <v>802</v>
      </c>
      <c r="B35" s="115"/>
      <c r="C35" s="116"/>
      <c r="D35" s="114" t="s">
        <v>802</v>
      </c>
      <c r="E35" s="115"/>
      <c r="F35" s="116"/>
      <c r="G35" s="114" t="s">
        <v>802</v>
      </c>
      <c r="H35" s="115"/>
      <c r="I35" s="116"/>
    </row>
    <row r="36" spans="1:9" x14ac:dyDescent="0.25">
      <c r="A36" s="89" t="s">
        <v>749</v>
      </c>
    </row>
    <row r="37" spans="1:9" ht="270" customHeight="1" x14ac:dyDescent="0.25">
      <c r="A37" s="106" t="s">
        <v>750</v>
      </c>
      <c r="B37" s="107"/>
      <c r="C37" s="107"/>
      <c r="D37" s="107"/>
      <c r="E37" s="107"/>
      <c r="F37" s="107"/>
      <c r="G37" s="107"/>
      <c r="H37" s="107"/>
      <c r="I37" s="107"/>
    </row>
  </sheetData>
  <mergeCells count="83">
    <mergeCell ref="A1:I1"/>
    <mergeCell ref="A2:B3"/>
    <mergeCell ref="A4:B5"/>
    <mergeCell ref="A6:B7"/>
    <mergeCell ref="A8:B9"/>
    <mergeCell ref="F2:G3"/>
    <mergeCell ref="F4:G5"/>
    <mergeCell ref="F6:G7"/>
    <mergeCell ref="F8:G9"/>
    <mergeCell ref="I2:I3"/>
    <mergeCell ref="I4:I5"/>
    <mergeCell ref="I6:I7"/>
    <mergeCell ref="I8:I9"/>
    <mergeCell ref="C2:D3"/>
    <mergeCell ref="C4:D5"/>
    <mergeCell ref="C6:D7"/>
    <mergeCell ref="C8:D9"/>
    <mergeCell ref="C10:D11"/>
    <mergeCell ref="E2:E3"/>
    <mergeCell ref="E4:E5"/>
    <mergeCell ref="E6:E7"/>
    <mergeCell ref="E8:E9"/>
    <mergeCell ref="E10:E11"/>
    <mergeCell ref="H2:H3"/>
    <mergeCell ref="H4:H5"/>
    <mergeCell ref="H6:H7"/>
    <mergeCell ref="H8:H9"/>
    <mergeCell ref="H10:H11"/>
    <mergeCell ref="I10:I11"/>
    <mergeCell ref="A12:I12"/>
    <mergeCell ref="B13:C13"/>
    <mergeCell ref="E13:F13"/>
    <mergeCell ref="H13:I13"/>
    <mergeCell ref="F10:G11"/>
    <mergeCell ref="A10:B11"/>
    <mergeCell ref="A20:B20"/>
    <mergeCell ref="A21:B21"/>
    <mergeCell ref="A22:B22"/>
    <mergeCell ref="D14:E14"/>
    <mergeCell ref="D15:E15"/>
    <mergeCell ref="D16:E16"/>
    <mergeCell ref="D17:E17"/>
    <mergeCell ref="D18:E18"/>
    <mergeCell ref="D19:E19"/>
    <mergeCell ref="D20:E20"/>
    <mergeCell ref="D21:E21"/>
    <mergeCell ref="D22:E22"/>
    <mergeCell ref="D23:E23"/>
    <mergeCell ref="G14:H14"/>
    <mergeCell ref="G15:H15"/>
    <mergeCell ref="G16:H16"/>
    <mergeCell ref="G17:H17"/>
    <mergeCell ref="G18:H18"/>
    <mergeCell ref="G19:H19"/>
    <mergeCell ref="G20:H20"/>
    <mergeCell ref="G21:H21"/>
    <mergeCell ref="G22:H22"/>
    <mergeCell ref="G23:H23"/>
    <mergeCell ref="G24:H24"/>
    <mergeCell ref="G25:H25"/>
    <mergeCell ref="A27:B27"/>
    <mergeCell ref="A28:B28"/>
    <mergeCell ref="A29:B29"/>
    <mergeCell ref="D28:E28"/>
    <mergeCell ref="D29:E29"/>
    <mergeCell ref="G28:H28"/>
    <mergeCell ref="G29:H29"/>
    <mergeCell ref="A37:I37"/>
    <mergeCell ref="G31:I31"/>
    <mergeCell ref="G32:I32"/>
    <mergeCell ref="G33:I33"/>
    <mergeCell ref="G34:I34"/>
    <mergeCell ref="G35:I35"/>
    <mergeCell ref="D31:F31"/>
    <mergeCell ref="D32:F32"/>
    <mergeCell ref="D33:F33"/>
    <mergeCell ref="D34:F34"/>
    <mergeCell ref="D35:F35"/>
    <mergeCell ref="A31:C31"/>
    <mergeCell ref="A32:C32"/>
    <mergeCell ref="A33:C33"/>
    <mergeCell ref="A34:C34"/>
    <mergeCell ref="A35:C35"/>
  </mergeCells>
  <pageMargins left="0.393999993801117" right="0.393999993801117" top="0.59100002050399802" bottom="0.59100002050399802" header="0" footer="0"/>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3"/>
  <sheetViews>
    <sheetView workbookViewId="0">
      <pane ySplit="10" topLeftCell="A44" activePane="bottomLeft" state="frozen"/>
      <selection pane="bottomLeft" activeCell="C19" sqref="C19"/>
    </sheetView>
  </sheetViews>
  <sheetFormatPr defaultColWidth="12.140625" defaultRowHeight="15" customHeight="1" x14ac:dyDescent="0.25"/>
  <cols>
    <col min="1" max="2" width="8.5703125" customWidth="1"/>
    <col min="3" max="3" width="71.42578125" customWidth="1"/>
    <col min="4" max="6" width="27.85546875" customWidth="1"/>
    <col min="7" max="7" width="37.140625" customWidth="1"/>
    <col min="8" max="9" width="0" hidden="1" customWidth="1"/>
  </cols>
  <sheetData>
    <row r="1" spans="1:9" ht="54.75" customHeight="1" x14ac:dyDescent="0.25">
      <c r="A1" s="148" t="s">
        <v>751</v>
      </c>
      <c r="B1" s="148"/>
      <c r="C1" s="148"/>
      <c r="D1" s="148"/>
      <c r="E1" s="148"/>
      <c r="F1" s="148"/>
      <c r="G1" s="148"/>
    </row>
    <row r="2" spans="1:9" x14ac:dyDescent="0.25">
      <c r="A2" s="149" t="s">
        <v>0</v>
      </c>
      <c r="B2" s="150"/>
      <c r="C2" s="155" t="str">
        <f>'Stavební rozpočet'!D2</f>
        <v>"Stavební úpravy objektů čerpací stanice a myčky vozidel - SAKO Brno, a.s., Černovická 15"</v>
      </c>
      <c r="D2" s="150" t="s">
        <v>2</v>
      </c>
      <c r="E2" s="150" t="s">
        <v>3</v>
      </c>
      <c r="F2" s="146" t="s">
        <v>4</v>
      </c>
      <c r="G2" s="158" t="str">
        <f>'Stavební rozpočet'!J2</f>
        <v>SAKO Brno, a.s., Jedovnická 4247/2, Židenice, 628</v>
      </c>
    </row>
    <row r="3" spans="1:9" ht="15" customHeight="1" x14ac:dyDescent="0.25">
      <c r="A3" s="151"/>
      <c r="B3" s="107"/>
      <c r="C3" s="157"/>
      <c r="D3" s="107"/>
      <c r="E3" s="107"/>
      <c r="F3" s="107"/>
      <c r="G3" s="153"/>
    </row>
    <row r="4" spans="1:9" x14ac:dyDescent="0.25">
      <c r="A4" s="144" t="s">
        <v>6</v>
      </c>
      <c r="B4" s="107"/>
      <c r="C4" s="106" t="str">
        <f>'Stavební rozpočet'!D4</f>
        <v>D.2.1a ASŘ – Zastřešení myčky                                                                                              IO 231 Řešení zpevněných ploch SO05 - neveřejná účelová komunikace (chodníky, areálová komunikace, zatravněné plochy)</v>
      </c>
      <c r="D4" s="107" t="s">
        <v>7</v>
      </c>
      <c r="E4" s="107"/>
      <c r="F4" s="106" t="s">
        <v>8</v>
      </c>
      <c r="G4" s="138" t="str">
        <f>'Stavební rozpočet'!J4</f>
        <v>GARANT projekt s.r.o.,</v>
      </c>
    </row>
    <row r="5" spans="1:9" ht="26.25" customHeight="1" x14ac:dyDescent="0.25">
      <c r="A5" s="151"/>
      <c r="B5" s="107"/>
      <c r="C5" s="107"/>
      <c r="D5" s="107"/>
      <c r="E5" s="107"/>
      <c r="F5" s="107"/>
      <c r="G5" s="153"/>
    </row>
    <row r="6" spans="1:9" x14ac:dyDescent="0.25">
      <c r="A6" s="144" t="s">
        <v>10</v>
      </c>
      <c r="B6" s="107"/>
      <c r="C6" s="106" t="str">
        <f>'Stavební rozpočet'!D6</f>
        <v>SAKO Brno, Černovická 454/15, Komárov, 617 00 Brno Jih</v>
      </c>
      <c r="D6" s="107" t="s">
        <v>12</v>
      </c>
      <c r="E6" s="107" t="s">
        <v>3</v>
      </c>
      <c r="F6" s="106" t="s">
        <v>13</v>
      </c>
      <c r="G6" s="138" t="str">
        <f>'Stavební rozpočet'!J6</f>
        <v>-</v>
      </c>
    </row>
    <row r="7" spans="1:9" ht="15" customHeight="1" x14ac:dyDescent="0.25">
      <c r="A7" s="151"/>
      <c r="B7" s="107"/>
      <c r="C7" s="107"/>
      <c r="D7" s="107"/>
      <c r="E7" s="107"/>
      <c r="F7" s="107"/>
      <c r="G7" s="153"/>
    </row>
    <row r="8" spans="1:9" x14ac:dyDescent="0.25">
      <c r="A8" s="144" t="s">
        <v>19</v>
      </c>
      <c r="B8" s="107"/>
      <c r="C8" s="106" t="str">
        <f>'Stavební rozpočet'!J8</f>
        <v>GARANT projekt s.r.o.,</v>
      </c>
      <c r="D8" s="107" t="s">
        <v>17</v>
      </c>
      <c r="E8" s="107" t="s">
        <v>18</v>
      </c>
      <c r="F8" s="107" t="s">
        <v>17</v>
      </c>
      <c r="G8" s="138" t="str">
        <f>'Stavební rozpočet'!H8</f>
        <v>18.06.2024</v>
      </c>
    </row>
    <row r="9" spans="1:9" x14ac:dyDescent="0.25">
      <c r="A9" s="161"/>
      <c r="B9" s="160"/>
      <c r="C9" s="160"/>
      <c r="D9" s="160"/>
      <c r="E9" s="160"/>
      <c r="F9" s="160"/>
      <c r="G9" s="159"/>
    </row>
    <row r="10" spans="1:9" x14ac:dyDescent="0.25">
      <c r="A10" s="68" t="s">
        <v>21</v>
      </c>
      <c r="B10" s="69" t="s">
        <v>22</v>
      </c>
      <c r="C10" s="70" t="s">
        <v>23</v>
      </c>
      <c r="D10" s="71" t="s">
        <v>752</v>
      </c>
      <c r="E10" s="71" t="s">
        <v>753</v>
      </c>
      <c r="F10" s="71" t="s">
        <v>754</v>
      </c>
      <c r="G10" s="72" t="s">
        <v>755</v>
      </c>
    </row>
    <row r="11" spans="1:9" x14ac:dyDescent="0.25">
      <c r="A11" s="98" t="s">
        <v>55</v>
      </c>
      <c r="B11" s="99" t="s">
        <v>54</v>
      </c>
      <c r="C11" s="99" t="s">
        <v>56</v>
      </c>
      <c r="D11" s="100">
        <f>'Stavební rozpočet'!J12</f>
        <v>0</v>
      </c>
      <c r="E11" s="100">
        <f>'Stavební rozpočet'!K12</f>
        <v>0</v>
      </c>
      <c r="F11" s="100">
        <f>'Stavební rozpočet'!L12</f>
        <v>0</v>
      </c>
      <c r="G11" s="101">
        <f>'Stavební rozpočet'!O12</f>
        <v>423.29884000000004</v>
      </c>
      <c r="H11" s="73" t="s">
        <v>756</v>
      </c>
      <c r="I11" s="35">
        <f t="shared" ref="I11:I52" si="0">IF(H11="F",0,F11)</f>
        <v>0</v>
      </c>
    </row>
    <row r="12" spans="1:9" x14ac:dyDescent="0.25">
      <c r="A12" s="2" t="s">
        <v>55</v>
      </c>
      <c r="B12" s="3" t="s">
        <v>57</v>
      </c>
      <c r="C12" s="3" t="s">
        <v>58</v>
      </c>
      <c r="D12" s="35">
        <f>'Stavební rozpočet'!J13</f>
        <v>0</v>
      </c>
      <c r="E12" s="35">
        <f>'Stavební rozpočet'!K13</f>
        <v>0</v>
      </c>
      <c r="F12" s="35">
        <f>'Stavební rozpočet'!L13</f>
        <v>0</v>
      </c>
      <c r="G12" s="74">
        <f>'Stavební rozpočet'!O13</f>
        <v>292.04468000000003</v>
      </c>
      <c r="H12" s="73" t="s">
        <v>757</v>
      </c>
      <c r="I12" s="35">
        <f t="shared" si="0"/>
        <v>0</v>
      </c>
    </row>
    <row r="13" spans="1:9" x14ac:dyDescent="0.25">
      <c r="A13" s="2" t="s">
        <v>55</v>
      </c>
      <c r="B13" s="3" t="s">
        <v>111</v>
      </c>
      <c r="C13" s="3" t="s">
        <v>112</v>
      </c>
      <c r="D13" s="35">
        <f>'Stavební rozpočet'!J35</f>
        <v>0</v>
      </c>
      <c r="E13" s="35">
        <f>'Stavební rozpočet'!K35</f>
        <v>0</v>
      </c>
      <c r="F13" s="35">
        <f>'Stavební rozpočet'!L35</f>
        <v>0</v>
      </c>
      <c r="G13" s="74">
        <f>'Stavební rozpočet'!O35</f>
        <v>0</v>
      </c>
      <c r="H13" s="73" t="s">
        <v>757</v>
      </c>
      <c r="I13" s="35">
        <f t="shared" si="0"/>
        <v>0</v>
      </c>
    </row>
    <row r="14" spans="1:9" x14ac:dyDescent="0.25">
      <c r="A14" s="2" t="s">
        <v>55</v>
      </c>
      <c r="B14" s="3" t="s">
        <v>92</v>
      </c>
      <c r="C14" s="3" t="s">
        <v>129</v>
      </c>
      <c r="D14" s="35">
        <f>'Stavební rozpočet'!J44</f>
        <v>0</v>
      </c>
      <c r="E14" s="35">
        <f>'Stavební rozpočet'!K44</f>
        <v>0</v>
      </c>
      <c r="F14" s="35">
        <f>'Stavební rozpočet'!L44</f>
        <v>0</v>
      </c>
      <c r="G14" s="74">
        <f>'Stavební rozpočet'!O44</f>
        <v>0</v>
      </c>
      <c r="H14" s="73" t="s">
        <v>757</v>
      </c>
      <c r="I14" s="35">
        <f t="shared" si="0"/>
        <v>0</v>
      </c>
    </row>
    <row r="15" spans="1:9" x14ac:dyDescent="0.25">
      <c r="A15" s="2" t="s">
        <v>55</v>
      </c>
      <c r="B15" s="3" t="s">
        <v>142</v>
      </c>
      <c r="C15" s="3" t="s">
        <v>143</v>
      </c>
      <c r="D15" s="35">
        <f>'Stavební rozpočet'!J51</f>
        <v>0</v>
      </c>
      <c r="E15" s="35">
        <f>'Stavební rozpočet'!K51</f>
        <v>0</v>
      </c>
      <c r="F15" s="35">
        <f>'Stavební rozpočet'!L51</f>
        <v>0</v>
      </c>
      <c r="G15" s="74">
        <f>'Stavební rozpočet'!O51</f>
        <v>0</v>
      </c>
      <c r="H15" s="73" t="s">
        <v>757</v>
      </c>
      <c r="I15" s="35">
        <f t="shared" si="0"/>
        <v>0</v>
      </c>
    </row>
    <row r="16" spans="1:9" x14ac:dyDescent="0.25">
      <c r="A16" s="2" t="s">
        <v>55</v>
      </c>
      <c r="B16" s="3" t="s">
        <v>154</v>
      </c>
      <c r="C16" s="3" t="s">
        <v>155</v>
      </c>
      <c r="D16" s="35">
        <f>'Stavební rozpočet'!J56</f>
        <v>0</v>
      </c>
      <c r="E16" s="35">
        <f>'Stavební rozpočet'!K56</f>
        <v>0</v>
      </c>
      <c r="F16" s="35">
        <f>'Stavební rozpočet'!L56</f>
        <v>0</v>
      </c>
      <c r="G16" s="74">
        <f>'Stavební rozpočet'!O56</f>
        <v>0</v>
      </c>
      <c r="H16" s="73" t="s">
        <v>757</v>
      </c>
      <c r="I16" s="35">
        <f t="shared" si="0"/>
        <v>0</v>
      </c>
    </row>
    <row r="17" spans="1:9" x14ac:dyDescent="0.25">
      <c r="A17" s="2" t="s">
        <v>55</v>
      </c>
      <c r="B17" s="3" t="s">
        <v>161</v>
      </c>
      <c r="C17" s="3" t="s">
        <v>162</v>
      </c>
      <c r="D17" s="35">
        <f>'Stavební rozpočet'!J59</f>
        <v>0</v>
      </c>
      <c r="E17" s="35">
        <f>'Stavební rozpočet'!K59</f>
        <v>0</v>
      </c>
      <c r="F17" s="35">
        <f>'Stavební rozpočet'!L59</f>
        <v>0</v>
      </c>
      <c r="G17" s="74">
        <f>'Stavební rozpočet'!O59</f>
        <v>131.25416000000001</v>
      </c>
      <c r="H17" s="73" t="s">
        <v>757</v>
      </c>
      <c r="I17" s="35">
        <f t="shared" si="0"/>
        <v>0</v>
      </c>
    </row>
    <row r="18" spans="1:9" x14ac:dyDescent="0.25">
      <c r="A18" s="2" t="s">
        <v>55</v>
      </c>
      <c r="B18" s="3" t="s">
        <v>192</v>
      </c>
      <c r="C18" s="3" t="s">
        <v>193</v>
      </c>
      <c r="D18" s="35">
        <f>'Stavební rozpočet'!J79</f>
        <v>0</v>
      </c>
      <c r="E18" s="35">
        <f>'Stavební rozpočet'!K79</f>
        <v>0</v>
      </c>
      <c r="F18" s="35">
        <f>'Stavební rozpočet'!L79</f>
        <v>0</v>
      </c>
      <c r="G18" s="74">
        <f>'Stavební rozpočet'!O79</f>
        <v>0</v>
      </c>
      <c r="H18" s="73" t="s">
        <v>757</v>
      </c>
      <c r="I18" s="35">
        <f t="shared" si="0"/>
        <v>0</v>
      </c>
    </row>
    <row r="19" spans="1:9" x14ac:dyDescent="0.25">
      <c r="A19" s="2" t="s">
        <v>55</v>
      </c>
      <c r="B19" s="3" t="s">
        <v>205</v>
      </c>
      <c r="C19" s="3" t="s">
        <v>206</v>
      </c>
      <c r="D19" s="35">
        <f>'Stavební rozpočet'!J86</f>
        <v>0</v>
      </c>
      <c r="E19" s="35">
        <f>'Stavební rozpočet'!K86</f>
        <v>0</v>
      </c>
      <c r="F19" s="35">
        <f>'Stavební rozpočet'!L86</f>
        <v>0</v>
      </c>
      <c r="G19" s="74">
        <f>'Stavební rozpočet'!O86</f>
        <v>0</v>
      </c>
      <c r="H19" s="73" t="s">
        <v>757</v>
      </c>
      <c r="I19" s="35">
        <f t="shared" si="0"/>
        <v>0</v>
      </c>
    </row>
    <row r="20" spans="1:9" x14ac:dyDescent="0.25">
      <c r="A20" s="102" t="s">
        <v>240</v>
      </c>
      <c r="B20" s="103" t="s">
        <v>54</v>
      </c>
      <c r="C20" s="103" t="s">
        <v>241</v>
      </c>
      <c r="D20" s="104">
        <f>'Stavební rozpočet'!J101</f>
        <v>0</v>
      </c>
      <c r="E20" s="104">
        <f>'Stavební rozpočet'!K101</f>
        <v>0</v>
      </c>
      <c r="F20" s="104">
        <f>'Stavební rozpočet'!L101</f>
        <v>0</v>
      </c>
      <c r="G20" s="105">
        <f>'Stavební rozpočet'!O101</f>
        <v>1061.63667691</v>
      </c>
      <c r="H20" s="73" t="s">
        <v>756</v>
      </c>
      <c r="I20" s="35">
        <f t="shared" si="0"/>
        <v>0</v>
      </c>
    </row>
    <row r="21" spans="1:9" x14ac:dyDescent="0.25">
      <c r="A21" s="2" t="s">
        <v>240</v>
      </c>
      <c r="B21" s="3" t="s">
        <v>179</v>
      </c>
      <c r="C21" s="3" t="s">
        <v>242</v>
      </c>
      <c r="D21" s="35">
        <f>'Stavební rozpočet'!J102</f>
        <v>0</v>
      </c>
      <c r="E21" s="35">
        <f>'Stavební rozpočet'!K102</f>
        <v>0</v>
      </c>
      <c r="F21" s="35">
        <f>'Stavební rozpočet'!L102</f>
        <v>0</v>
      </c>
      <c r="G21" s="74">
        <f>'Stavební rozpočet'!O102</f>
        <v>520.29809999999998</v>
      </c>
      <c r="H21" s="73" t="s">
        <v>757</v>
      </c>
      <c r="I21" s="35">
        <f t="shared" si="0"/>
        <v>0</v>
      </c>
    </row>
    <row r="22" spans="1:9" x14ac:dyDescent="0.25">
      <c r="A22" s="2" t="s">
        <v>240</v>
      </c>
      <c r="B22" s="3" t="s">
        <v>182</v>
      </c>
      <c r="C22" s="3" t="s">
        <v>271</v>
      </c>
      <c r="D22" s="35">
        <f>'Stavební rozpočet'!J116</f>
        <v>0</v>
      </c>
      <c r="E22" s="35">
        <f>'Stavební rozpočet'!K116</f>
        <v>0</v>
      </c>
      <c r="F22" s="35">
        <f>'Stavební rozpočet'!L116</f>
        <v>0</v>
      </c>
      <c r="G22" s="74">
        <f>'Stavební rozpočet'!O116</f>
        <v>5.0000000000000001E-3</v>
      </c>
      <c r="H22" s="73" t="s">
        <v>757</v>
      </c>
      <c r="I22" s="35">
        <f t="shared" si="0"/>
        <v>0</v>
      </c>
    </row>
    <row r="23" spans="1:9" x14ac:dyDescent="0.25">
      <c r="A23" s="2" t="s">
        <v>240</v>
      </c>
      <c r="B23" s="3" t="s">
        <v>63</v>
      </c>
      <c r="C23" s="3" t="s">
        <v>282</v>
      </c>
      <c r="D23" s="35">
        <f>'Stavební rozpočet'!J123</f>
        <v>0</v>
      </c>
      <c r="E23" s="35">
        <f>'Stavební rozpočet'!K123</f>
        <v>0</v>
      </c>
      <c r="F23" s="35">
        <f>'Stavební rozpočet'!L123</f>
        <v>0</v>
      </c>
      <c r="G23" s="74">
        <f>'Stavební rozpočet'!O123</f>
        <v>0</v>
      </c>
      <c r="H23" s="73" t="s">
        <v>757</v>
      </c>
      <c r="I23" s="35">
        <f t="shared" si="0"/>
        <v>0</v>
      </c>
    </row>
    <row r="24" spans="1:9" x14ac:dyDescent="0.25">
      <c r="A24" s="2" t="s">
        <v>240</v>
      </c>
      <c r="B24" s="3" t="s">
        <v>243</v>
      </c>
      <c r="C24" s="3" t="s">
        <v>290</v>
      </c>
      <c r="D24" s="35">
        <f>'Stavební rozpočet'!J126</f>
        <v>0</v>
      </c>
      <c r="E24" s="35">
        <f>'Stavební rozpočet'!K126</f>
        <v>0</v>
      </c>
      <c r="F24" s="35">
        <f>'Stavební rozpočet'!L126</f>
        <v>0</v>
      </c>
      <c r="G24" s="74">
        <f>'Stavební rozpočet'!O126</f>
        <v>0.02</v>
      </c>
      <c r="H24" s="73" t="s">
        <v>757</v>
      </c>
      <c r="I24" s="35">
        <f t="shared" si="0"/>
        <v>0</v>
      </c>
    </row>
    <row r="25" spans="1:9" x14ac:dyDescent="0.25">
      <c r="A25" s="2" t="s">
        <v>240</v>
      </c>
      <c r="B25" s="3" t="s">
        <v>296</v>
      </c>
      <c r="C25" s="3" t="s">
        <v>297</v>
      </c>
      <c r="D25" s="35">
        <f>'Stavební rozpočet'!J129</f>
        <v>0</v>
      </c>
      <c r="E25" s="35">
        <f>'Stavební rozpočet'!K129</f>
        <v>0</v>
      </c>
      <c r="F25" s="35">
        <f>'Stavební rozpočet'!L129</f>
        <v>0</v>
      </c>
      <c r="G25" s="74">
        <f>'Stavební rozpočet'!O129</f>
        <v>419.25216625000002</v>
      </c>
      <c r="H25" s="73" t="s">
        <v>757</v>
      </c>
      <c r="I25" s="35">
        <f t="shared" si="0"/>
        <v>0</v>
      </c>
    </row>
    <row r="26" spans="1:9" x14ac:dyDescent="0.25">
      <c r="A26" s="2" t="s">
        <v>240</v>
      </c>
      <c r="B26" s="3" t="s">
        <v>328</v>
      </c>
      <c r="C26" s="3" t="s">
        <v>329</v>
      </c>
      <c r="D26" s="35">
        <f>'Stavební rozpočet'!J159</f>
        <v>0</v>
      </c>
      <c r="E26" s="35">
        <f>'Stavební rozpočet'!K159</f>
        <v>0</v>
      </c>
      <c r="F26" s="35">
        <f>'Stavební rozpočet'!L159</f>
        <v>0</v>
      </c>
      <c r="G26" s="74">
        <f>'Stavební rozpočet'!O159</f>
        <v>83.515903199999997</v>
      </c>
      <c r="H26" s="73" t="s">
        <v>757</v>
      </c>
      <c r="I26" s="35">
        <f t="shared" si="0"/>
        <v>0</v>
      </c>
    </row>
    <row r="27" spans="1:9" x14ac:dyDescent="0.25">
      <c r="A27" s="2" t="s">
        <v>240</v>
      </c>
      <c r="B27" s="3" t="s">
        <v>317</v>
      </c>
      <c r="C27" s="3" t="s">
        <v>340</v>
      </c>
      <c r="D27" s="35">
        <f>'Stavební rozpočet'!J171</f>
        <v>0</v>
      </c>
      <c r="E27" s="35">
        <f>'Stavební rozpočet'!K171</f>
        <v>0</v>
      </c>
      <c r="F27" s="35">
        <f>'Stavební rozpočet'!L171</f>
        <v>0</v>
      </c>
      <c r="G27" s="74">
        <f>'Stavební rozpočet'!O171</f>
        <v>11.110174499999999</v>
      </c>
      <c r="H27" s="73" t="s">
        <v>757</v>
      </c>
      <c r="I27" s="35">
        <f t="shared" si="0"/>
        <v>0</v>
      </c>
    </row>
    <row r="28" spans="1:9" x14ac:dyDescent="0.25">
      <c r="A28" s="2" t="s">
        <v>240</v>
      </c>
      <c r="B28" s="3" t="s">
        <v>373</v>
      </c>
      <c r="C28" s="3" t="s">
        <v>374</v>
      </c>
      <c r="D28" s="35">
        <f>'Stavební rozpočet'!J191</f>
        <v>0</v>
      </c>
      <c r="E28" s="35">
        <f>'Stavební rozpočet'!K191</f>
        <v>0</v>
      </c>
      <c r="F28" s="35">
        <f>'Stavební rozpočet'!L191</f>
        <v>0</v>
      </c>
      <c r="G28" s="74">
        <f>'Stavební rozpočet'!O191</f>
        <v>5.1235200000000001</v>
      </c>
      <c r="H28" s="73" t="s">
        <v>757</v>
      </c>
      <c r="I28" s="35">
        <f t="shared" si="0"/>
        <v>0</v>
      </c>
    </row>
    <row r="29" spans="1:9" x14ac:dyDescent="0.25">
      <c r="A29" s="2" t="s">
        <v>240</v>
      </c>
      <c r="B29" s="3" t="s">
        <v>383</v>
      </c>
      <c r="C29" s="3" t="s">
        <v>384</v>
      </c>
      <c r="D29" s="35">
        <f>'Stavební rozpočet'!J196</f>
        <v>0</v>
      </c>
      <c r="E29" s="35">
        <f>'Stavební rozpočet'!K196</f>
        <v>0</v>
      </c>
      <c r="F29" s="35">
        <f>'Stavební rozpočet'!L196</f>
        <v>0</v>
      </c>
      <c r="G29" s="74">
        <f>'Stavební rozpočet'!O196</f>
        <v>2.23296E-3</v>
      </c>
      <c r="H29" s="73" t="s">
        <v>757</v>
      </c>
      <c r="I29" s="35">
        <f t="shared" si="0"/>
        <v>0</v>
      </c>
    </row>
    <row r="30" spans="1:9" x14ac:dyDescent="0.25">
      <c r="A30" s="2" t="s">
        <v>240</v>
      </c>
      <c r="B30" s="3" t="s">
        <v>154</v>
      </c>
      <c r="C30" s="3" t="s">
        <v>155</v>
      </c>
      <c r="D30" s="35">
        <f>'Stavební rozpočet'!J204</f>
        <v>0</v>
      </c>
      <c r="E30" s="35">
        <f>'Stavební rozpočet'!K204</f>
        <v>0</v>
      </c>
      <c r="F30" s="35">
        <f>'Stavební rozpočet'!L204</f>
        <v>0</v>
      </c>
      <c r="G30" s="74">
        <f>'Stavební rozpočet'!O204</f>
        <v>22.30958</v>
      </c>
      <c r="H30" s="73" t="s">
        <v>757</v>
      </c>
      <c r="I30" s="35">
        <f t="shared" si="0"/>
        <v>0</v>
      </c>
    </row>
    <row r="31" spans="1:9" x14ac:dyDescent="0.25">
      <c r="A31" s="2" t="s">
        <v>240</v>
      </c>
      <c r="B31" s="3" t="s">
        <v>397</v>
      </c>
      <c r="C31" s="3" t="s">
        <v>398</v>
      </c>
      <c r="D31" s="35">
        <f>'Stavební rozpočet'!J207</f>
        <v>0</v>
      </c>
      <c r="E31" s="35">
        <f>'Stavební rozpočet'!K207</f>
        <v>0</v>
      </c>
      <c r="F31" s="35">
        <f>'Stavební rozpočet'!L207</f>
        <v>0</v>
      </c>
      <c r="G31" s="74">
        <f>'Stavební rozpočet'!O207</f>
        <v>0</v>
      </c>
      <c r="H31" s="73" t="s">
        <v>757</v>
      </c>
      <c r="I31" s="35">
        <f t="shared" si="0"/>
        <v>0</v>
      </c>
    </row>
    <row r="32" spans="1:9" x14ac:dyDescent="0.25">
      <c r="A32" s="2" t="s">
        <v>240</v>
      </c>
      <c r="B32" s="3" t="s">
        <v>402</v>
      </c>
      <c r="C32" s="3" t="s">
        <v>403</v>
      </c>
      <c r="D32" s="35">
        <f>'Stavební rozpočet'!J209</f>
        <v>0</v>
      </c>
      <c r="E32" s="35">
        <f>'Stavební rozpočet'!K209</f>
        <v>0</v>
      </c>
      <c r="F32" s="35">
        <f>'Stavební rozpočet'!L209</f>
        <v>0</v>
      </c>
      <c r="G32" s="74">
        <f>'Stavební rozpočet'!O209</f>
        <v>0</v>
      </c>
      <c r="H32" s="73" t="s">
        <v>756</v>
      </c>
      <c r="I32" s="35">
        <f t="shared" si="0"/>
        <v>0</v>
      </c>
    </row>
    <row r="33" spans="1:9" x14ac:dyDescent="0.25">
      <c r="A33" s="2" t="s">
        <v>240</v>
      </c>
      <c r="B33" s="3" t="s">
        <v>404</v>
      </c>
      <c r="C33" s="3" t="s">
        <v>405</v>
      </c>
      <c r="D33" s="35">
        <f>'Stavební rozpočet'!J210</f>
        <v>0</v>
      </c>
      <c r="E33" s="35">
        <f>'Stavební rozpočet'!K210</f>
        <v>0</v>
      </c>
      <c r="F33" s="35">
        <f>'Stavební rozpočet'!L210</f>
        <v>0</v>
      </c>
      <c r="G33" s="74">
        <f>'Stavební rozpočet'!O210</f>
        <v>0</v>
      </c>
      <c r="H33" s="73" t="s">
        <v>757</v>
      </c>
      <c r="I33" s="35">
        <f t="shared" si="0"/>
        <v>0</v>
      </c>
    </row>
    <row r="34" spans="1:9" x14ac:dyDescent="0.25">
      <c r="A34" s="102" t="s">
        <v>413</v>
      </c>
      <c r="B34" s="103" t="s">
        <v>54</v>
      </c>
      <c r="C34" s="103" t="s">
        <v>820</v>
      </c>
      <c r="D34" s="104">
        <f>'Stavební rozpočet'!J213</f>
        <v>0</v>
      </c>
      <c r="E34" s="104">
        <f>'Stavební rozpočet'!K213</f>
        <v>0</v>
      </c>
      <c r="F34" s="104">
        <f>'Stavební rozpočet'!L213</f>
        <v>0</v>
      </c>
      <c r="G34" s="105">
        <f>'Stavební rozpočet'!O213</f>
        <v>35.489489899000013</v>
      </c>
      <c r="H34" s="73" t="s">
        <v>756</v>
      </c>
      <c r="I34" s="35">
        <f t="shared" si="0"/>
        <v>0</v>
      </c>
    </row>
    <row r="35" spans="1:9" x14ac:dyDescent="0.25">
      <c r="A35" s="2" t="s">
        <v>413</v>
      </c>
      <c r="B35" s="3" t="s">
        <v>92</v>
      </c>
      <c r="C35" s="3" t="s">
        <v>129</v>
      </c>
      <c r="D35" s="35">
        <f>'Stavební rozpočet'!J214</f>
        <v>0</v>
      </c>
      <c r="E35" s="35">
        <f>'Stavební rozpočet'!K214</f>
        <v>0</v>
      </c>
      <c r="F35" s="35">
        <f>'Stavební rozpočet'!L214</f>
        <v>0</v>
      </c>
      <c r="G35" s="74">
        <f>'Stavební rozpočet'!O214</f>
        <v>0</v>
      </c>
      <c r="H35" s="73" t="s">
        <v>757</v>
      </c>
      <c r="I35" s="35">
        <f t="shared" si="0"/>
        <v>0</v>
      </c>
    </row>
    <row r="36" spans="1:9" x14ac:dyDescent="0.25">
      <c r="A36" s="2" t="s">
        <v>413</v>
      </c>
      <c r="B36" s="3" t="s">
        <v>63</v>
      </c>
      <c r="C36" s="3" t="s">
        <v>282</v>
      </c>
      <c r="D36" s="35">
        <f>'Stavební rozpočet'!J219</f>
        <v>0</v>
      </c>
      <c r="E36" s="35">
        <f>'Stavební rozpočet'!K219</f>
        <v>0</v>
      </c>
      <c r="F36" s="35">
        <f>'Stavební rozpočet'!L219</f>
        <v>0</v>
      </c>
      <c r="G36" s="74">
        <f>'Stavební rozpočet'!O219</f>
        <v>0</v>
      </c>
      <c r="H36" s="73" t="s">
        <v>757</v>
      </c>
      <c r="I36" s="35">
        <f t="shared" si="0"/>
        <v>0</v>
      </c>
    </row>
    <row r="37" spans="1:9" x14ac:dyDescent="0.25">
      <c r="A37" s="2" t="s">
        <v>413</v>
      </c>
      <c r="B37" s="3" t="s">
        <v>233</v>
      </c>
      <c r="C37" s="3" t="s">
        <v>428</v>
      </c>
      <c r="D37" s="35">
        <f>'Stavební rozpočet'!J222</f>
        <v>0</v>
      </c>
      <c r="E37" s="35">
        <f>'Stavební rozpočet'!K222</f>
        <v>0</v>
      </c>
      <c r="F37" s="35">
        <f>'Stavební rozpočet'!L222</f>
        <v>0</v>
      </c>
      <c r="G37" s="74">
        <f>'Stavební rozpočet'!O222</f>
        <v>19.642231341000002</v>
      </c>
      <c r="H37" s="73" t="s">
        <v>757</v>
      </c>
      <c r="I37" s="35">
        <f t="shared" si="0"/>
        <v>0</v>
      </c>
    </row>
    <row r="38" spans="1:9" x14ac:dyDescent="0.25">
      <c r="A38" s="2" t="s">
        <v>413</v>
      </c>
      <c r="B38" s="3" t="s">
        <v>142</v>
      </c>
      <c r="C38" s="3" t="s">
        <v>143</v>
      </c>
      <c r="D38" s="35">
        <f>'Stavební rozpočet'!J241</f>
        <v>0</v>
      </c>
      <c r="E38" s="35">
        <f>'Stavební rozpočet'!K241</f>
        <v>0</v>
      </c>
      <c r="F38" s="35">
        <f>'Stavební rozpočet'!L241</f>
        <v>0</v>
      </c>
      <c r="G38" s="74">
        <f>'Stavební rozpočet'!O241</f>
        <v>0</v>
      </c>
      <c r="H38" s="73" t="s">
        <v>757</v>
      </c>
      <c r="I38" s="35">
        <f t="shared" si="0"/>
        <v>0</v>
      </c>
    </row>
    <row r="39" spans="1:9" x14ac:dyDescent="0.25">
      <c r="A39" s="2" t="s">
        <v>413</v>
      </c>
      <c r="B39" s="3" t="s">
        <v>506</v>
      </c>
      <c r="C39" s="3" t="s">
        <v>507</v>
      </c>
      <c r="D39" s="35">
        <f>'Stavební rozpočet'!J265</f>
        <v>0</v>
      </c>
      <c r="E39" s="35">
        <f>'Stavební rozpočet'!K265</f>
        <v>0</v>
      </c>
      <c r="F39" s="35">
        <f>'Stavební rozpočet'!L265</f>
        <v>0</v>
      </c>
      <c r="G39" s="74">
        <f>'Stavební rozpočet'!O265</f>
        <v>7.5800000000000006E-2</v>
      </c>
      <c r="H39" s="73" t="s">
        <v>757</v>
      </c>
      <c r="I39" s="35">
        <f t="shared" si="0"/>
        <v>0</v>
      </c>
    </row>
    <row r="40" spans="1:9" x14ac:dyDescent="0.25">
      <c r="A40" s="2" t="s">
        <v>413</v>
      </c>
      <c r="B40" s="3" t="s">
        <v>514</v>
      </c>
      <c r="C40" s="3" t="s">
        <v>515</v>
      </c>
      <c r="D40" s="35">
        <f>'Stavební rozpočet'!J267</f>
        <v>0</v>
      </c>
      <c r="E40" s="35">
        <f>'Stavební rozpočet'!K267</f>
        <v>0</v>
      </c>
      <c r="F40" s="35">
        <f>'Stavební rozpočet'!L267</f>
        <v>0</v>
      </c>
      <c r="G40" s="74">
        <f>'Stavební rozpočet'!O267</f>
        <v>1.7930887800000002</v>
      </c>
      <c r="H40" s="73" t="s">
        <v>757</v>
      </c>
      <c r="I40" s="35">
        <f t="shared" si="0"/>
        <v>0</v>
      </c>
    </row>
    <row r="41" spans="1:9" x14ac:dyDescent="0.25">
      <c r="A41" s="2" t="s">
        <v>413</v>
      </c>
      <c r="B41" s="3" t="s">
        <v>549</v>
      </c>
      <c r="C41" s="3" t="s">
        <v>550</v>
      </c>
      <c r="D41" s="35">
        <f>'Stavební rozpočet'!J284</f>
        <v>0</v>
      </c>
      <c r="E41" s="35">
        <f>'Stavební rozpočet'!K284</f>
        <v>0</v>
      </c>
      <c r="F41" s="35">
        <f>'Stavební rozpočet'!L284</f>
        <v>0</v>
      </c>
      <c r="G41" s="74">
        <f>'Stavební rozpočet'!O284</f>
        <v>11.550044539999998</v>
      </c>
      <c r="H41" s="73" t="s">
        <v>757</v>
      </c>
      <c r="I41" s="35">
        <f t="shared" si="0"/>
        <v>0</v>
      </c>
    </row>
    <row r="42" spans="1:9" x14ac:dyDescent="0.25">
      <c r="A42" s="2" t="s">
        <v>413</v>
      </c>
      <c r="B42" s="3" t="s">
        <v>383</v>
      </c>
      <c r="C42" s="3" t="s">
        <v>384</v>
      </c>
      <c r="D42" s="35">
        <f>'Stavební rozpočet'!J312</f>
        <v>0</v>
      </c>
      <c r="E42" s="35">
        <f>'Stavební rozpočet'!K312</f>
        <v>0</v>
      </c>
      <c r="F42" s="35">
        <f>'Stavební rozpočet'!L312</f>
        <v>0</v>
      </c>
      <c r="G42" s="74">
        <f>'Stavební rozpočet'!O312</f>
        <v>8.8530456000000007E-2</v>
      </c>
      <c r="H42" s="73" t="s">
        <v>757</v>
      </c>
      <c r="I42" s="35">
        <f t="shared" si="0"/>
        <v>0</v>
      </c>
    </row>
    <row r="43" spans="1:9" x14ac:dyDescent="0.25">
      <c r="A43" s="2" t="s">
        <v>413</v>
      </c>
      <c r="B43" s="3" t="s">
        <v>603</v>
      </c>
      <c r="C43" s="3" t="s">
        <v>604</v>
      </c>
      <c r="D43" s="35">
        <f>'Stavební rozpočet'!J336</f>
        <v>0</v>
      </c>
      <c r="E43" s="35">
        <f>'Stavební rozpočet'!K336</f>
        <v>0</v>
      </c>
      <c r="F43" s="35">
        <f>'Stavební rozpočet'!L336</f>
        <v>0</v>
      </c>
      <c r="G43" s="74">
        <f>'Stavební rozpočet'!O336</f>
        <v>0.64105663000000002</v>
      </c>
      <c r="H43" s="73" t="s">
        <v>757</v>
      </c>
      <c r="I43" s="35">
        <f t="shared" si="0"/>
        <v>0</v>
      </c>
    </row>
    <row r="44" spans="1:9" x14ac:dyDescent="0.25">
      <c r="A44" s="2" t="s">
        <v>413</v>
      </c>
      <c r="B44" s="3" t="s">
        <v>627</v>
      </c>
      <c r="C44" s="3" t="s">
        <v>628</v>
      </c>
      <c r="D44" s="35">
        <f>'Stavební rozpočet'!J344</f>
        <v>0</v>
      </c>
      <c r="E44" s="35">
        <f>'Stavební rozpočet'!K344</f>
        <v>0</v>
      </c>
      <c r="F44" s="35">
        <f>'Stavební rozpočet'!L344</f>
        <v>0</v>
      </c>
      <c r="G44" s="74">
        <f>'Stavební rozpočet'!O344</f>
        <v>4.0381520000000006E-3</v>
      </c>
      <c r="H44" s="73" t="s">
        <v>757</v>
      </c>
      <c r="I44" s="35">
        <f t="shared" si="0"/>
        <v>0</v>
      </c>
    </row>
    <row r="45" spans="1:9" x14ac:dyDescent="0.25">
      <c r="A45" s="2" t="s">
        <v>413</v>
      </c>
      <c r="B45" s="3" t="s">
        <v>161</v>
      </c>
      <c r="C45" s="3" t="s">
        <v>162</v>
      </c>
      <c r="D45" s="35">
        <f>'Stavební rozpočet'!J347</f>
        <v>0</v>
      </c>
      <c r="E45" s="35">
        <f>'Stavební rozpočet'!K347</f>
        <v>0</v>
      </c>
      <c r="F45" s="35">
        <f>'Stavební rozpočet'!L347</f>
        <v>0</v>
      </c>
      <c r="G45" s="74">
        <f>'Stavební rozpočet'!O347</f>
        <v>1.6910399999999999</v>
      </c>
      <c r="H45" s="73" t="s">
        <v>757</v>
      </c>
      <c r="I45" s="35">
        <f t="shared" si="0"/>
        <v>0</v>
      </c>
    </row>
    <row r="46" spans="1:9" x14ac:dyDescent="0.25">
      <c r="A46" s="2" t="s">
        <v>413</v>
      </c>
      <c r="B46" s="3" t="s">
        <v>639</v>
      </c>
      <c r="C46" s="3" t="s">
        <v>640</v>
      </c>
      <c r="D46" s="35">
        <f>'Stavební rozpočet'!J352</f>
        <v>0</v>
      </c>
      <c r="E46" s="35">
        <f>'Stavební rozpočet'!K352</f>
        <v>0</v>
      </c>
      <c r="F46" s="35">
        <f>'Stavební rozpočet'!L352</f>
        <v>0</v>
      </c>
      <c r="G46" s="74">
        <f>'Stavební rozpočet'!O352</f>
        <v>3.6600000000000001E-3</v>
      </c>
      <c r="H46" s="73" t="s">
        <v>757</v>
      </c>
      <c r="I46" s="35">
        <f t="shared" si="0"/>
        <v>0</v>
      </c>
    </row>
    <row r="47" spans="1:9" x14ac:dyDescent="0.25">
      <c r="A47" s="2" t="s">
        <v>413</v>
      </c>
      <c r="B47" s="3" t="s">
        <v>652</v>
      </c>
      <c r="C47" s="3" t="s">
        <v>653</v>
      </c>
      <c r="D47" s="35">
        <f>'Stavební rozpočet'!J358</f>
        <v>0</v>
      </c>
      <c r="E47" s="35">
        <f>'Stavební rozpočet'!K358</f>
        <v>0</v>
      </c>
      <c r="F47" s="35">
        <f>'Stavební rozpočet'!L358</f>
        <v>0</v>
      </c>
      <c r="G47" s="74">
        <f>'Stavební rozpočet'!O358</f>
        <v>0</v>
      </c>
      <c r="H47" s="73" t="s">
        <v>757</v>
      </c>
      <c r="I47" s="35">
        <f t="shared" si="0"/>
        <v>0</v>
      </c>
    </row>
    <row r="48" spans="1:9" x14ac:dyDescent="0.25">
      <c r="A48" s="2" t="s">
        <v>413</v>
      </c>
      <c r="B48" s="3" t="s">
        <v>657</v>
      </c>
      <c r="C48" s="3" t="s">
        <v>658</v>
      </c>
      <c r="D48" s="35">
        <f>'Stavební rozpočet'!J360</f>
        <v>0</v>
      </c>
      <c r="E48" s="35">
        <f>'Stavební rozpočet'!K360</f>
        <v>0</v>
      </c>
      <c r="F48" s="35">
        <f>'Stavební rozpočet'!L360</f>
        <v>0</v>
      </c>
      <c r="G48" s="74">
        <f>'Stavební rozpočet'!O360</f>
        <v>0</v>
      </c>
      <c r="H48" s="73" t="s">
        <v>757</v>
      </c>
      <c r="I48" s="35">
        <f t="shared" si="0"/>
        <v>0</v>
      </c>
    </row>
    <row r="49" spans="1:9" x14ac:dyDescent="0.25">
      <c r="A49" s="2" t="s">
        <v>413</v>
      </c>
      <c r="B49" s="3" t="s">
        <v>205</v>
      </c>
      <c r="C49" s="3" t="s">
        <v>206</v>
      </c>
      <c r="D49" s="35">
        <f>'Stavební rozpočet'!J362</f>
        <v>0</v>
      </c>
      <c r="E49" s="35">
        <f>'Stavební rozpočet'!K362</f>
        <v>0</v>
      </c>
      <c r="F49" s="35">
        <f>'Stavební rozpočet'!L362</f>
        <v>0</v>
      </c>
      <c r="G49" s="74">
        <f>'Stavební rozpočet'!O362</f>
        <v>0</v>
      </c>
      <c r="H49" s="73" t="s">
        <v>757</v>
      </c>
      <c r="I49" s="35">
        <f t="shared" si="0"/>
        <v>0</v>
      </c>
    </row>
    <row r="50" spans="1:9" x14ac:dyDescent="0.25">
      <c r="A50" s="102" t="s">
        <v>702</v>
      </c>
      <c r="B50" s="103" t="s">
        <v>54</v>
      </c>
      <c r="C50" s="103" t="s">
        <v>703</v>
      </c>
      <c r="D50" s="104">
        <f>'Stavební rozpočet'!J381</f>
        <v>0</v>
      </c>
      <c r="E50" s="104">
        <f>'Stavební rozpočet'!K381</f>
        <v>0</v>
      </c>
      <c r="F50" s="104">
        <f>'Stavební rozpočet'!L381</f>
        <v>0</v>
      </c>
      <c r="G50" s="105">
        <f>'Stavební rozpočet'!O381</f>
        <v>0</v>
      </c>
      <c r="H50" s="73" t="s">
        <v>756</v>
      </c>
      <c r="I50" s="35">
        <f t="shared" si="0"/>
        <v>0</v>
      </c>
    </row>
    <row r="51" spans="1:9" x14ac:dyDescent="0.25">
      <c r="A51" s="2" t="s">
        <v>702</v>
      </c>
      <c r="B51" s="3" t="s">
        <v>402</v>
      </c>
      <c r="C51" s="3" t="s">
        <v>403</v>
      </c>
      <c r="D51" s="35">
        <f>'Stavební rozpočet'!J382</f>
        <v>0</v>
      </c>
      <c r="E51" s="35">
        <f>'Stavební rozpočet'!K382</f>
        <v>0</v>
      </c>
      <c r="F51" s="35">
        <f>'Stavební rozpočet'!L382</f>
        <v>0</v>
      </c>
      <c r="G51" s="74">
        <f>'Stavební rozpočet'!O382</f>
        <v>0</v>
      </c>
      <c r="H51" s="73" t="s">
        <v>756</v>
      </c>
      <c r="I51" s="35">
        <f t="shared" si="0"/>
        <v>0</v>
      </c>
    </row>
    <row r="52" spans="1:9" x14ac:dyDescent="0.25">
      <c r="A52" s="60" t="s">
        <v>702</v>
      </c>
      <c r="B52" s="61" t="s">
        <v>704</v>
      </c>
      <c r="C52" s="61" t="s">
        <v>705</v>
      </c>
      <c r="D52" s="62">
        <f>'Stavební rozpočet'!J383</f>
        <v>0</v>
      </c>
      <c r="E52" s="62">
        <f>'Stavební rozpočet'!K383</f>
        <v>0</v>
      </c>
      <c r="F52" s="62">
        <f>'Stavební rozpočet'!L383</f>
        <v>0</v>
      </c>
      <c r="G52" s="75">
        <f>'Stavební rozpočet'!O383</f>
        <v>0</v>
      </c>
      <c r="H52" s="73" t="s">
        <v>757</v>
      </c>
      <c r="I52" s="35">
        <f t="shared" si="0"/>
        <v>0</v>
      </c>
    </row>
    <row r="53" spans="1:9" x14ac:dyDescent="0.25">
      <c r="E53" s="65" t="s">
        <v>748</v>
      </c>
      <c r="F53" s="66">
        <f>SUM(I11:I52)</f>
        <v>0</v>
      </c>
    </row>
  </sheetData>
  <mergeCells count="25">
    <mergeCell ref="A1:G1"/>
    <mergeCell ref="A2:B3"/>
    <mergeCell ref="A4:B5"/>
    <mergeCell ref="A6:B7"/>
    <mergeCell ref="A8:B9"/>
    <mergeCell ref="D2:D3"/>
    <mergeCell ref="D4:D5"/>
    <mergeCell ref="D6:D7"/>
    <mergeCell ref="D8:D9"/>
    <mergeCell ref="F2:F3"/>
    <mergeCell ref="F4:F5"/>
    <mergeCell ref="F6:F7"/>
    <mergeCell ref="F8:F9"/>
    <mergeCell ref="C2:C3"/>
    <mergeCell ref="C4:C5"/>
    <mergeCell ref="C6:C7"/>
    <mergeCell ref="G2:G3"/>
    <mergeCell ref="G4:G5"/>
    <mergeCell ref="G6:G7"/>
    <mergeCell ref="G8:G9"/>
    <mergeCell ref="C8:C9"/>
    <mergeCell ref="E2:E3"/>
    <mergeCell ref="E4:E5"/>
    <mergeCell ref="E6:E7"/>
    <mergeCell ref="E8:E9"/>
  </mergeCells>
  <pageMargins left="0.393999993801117" right="0.393999993801117" top="0.59100002050399802" bottom="0.59100002050399802" header="0" footer="0"/>
  <pageSetup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Z399"/>
  <sheetViews>
    <sheetView tabSelected="1" workbookViewId="0">
      <pane ySplit="11" topLeftCell="A348" activePane="bottomLeft" state="frozen"/>
      <selection pane="bottomLeft" activeCell="D352" sqref="D352:E352"/>
    </sheetView>
  </sheetViews>
  <sheetFormatPr defaultColWidth="12.140625" defaultRowHeight="15" customHeight="1" x14ac:dyDescent="0.25"/>
  <cols>
    <col min="1" max="1" width="4" customWidth="1"/>
    <col min="2" max="2" width="7.85546875" customWidth="1"/>
    <col min="3" max="3" width="17.85546875" customWidth="1"/>
    <col min="4" max="4" width="42.85546875" customWidth="1"/>
    <col min="5" max="5" width="35.7109375" customWidth="1"/>
    <col min="6" max="6" width="6.7109375" customWidth="1"/>
    <col min="7" max="7" width="12.85546875" customWidth="1"/>
    <col min="8" max="8" width="12" customWidth="1"/>
    <col min="9" max="9" width="11.140625" customWidth="1"/>
    <col min="10" max="13" width="15.7109375" customWidth="1"/>
    <col min="14" max="15" width="11.7109375" customWidth="1"/>
    <col min="16" max="16" width="13.42578125" customWidth="1"/>
    <col min="25" max="75" width="12.140625" hidden="1"/>
    <col min="76" max="76" width="78.5703125" hidden="1" customWidth="1"/>
    <col min="77" max="78" width="12.140625" hidden="1"/>
  </cols>
  <sheetData>
    <row r="1" spans="1:76" ht="54.75" customHeight="1" x14ac:dyDescent="0.25">
      <c r="A1" s="148" t="s">
        <v>823</v>
      </c>
      <c r="B1" s="148"/>
      <c r="C1" s="148"/>
      <c r="D1" s="148"/>
      <c r="E1" s="148"/>
      <c r="F1" s="148"/>
      <c r="G1" s="148"/>
      <c r="H1" s="148"/>
      <c r="I1" s="148"/>
      <c r="J1" s="148"/>
      <c r="K1" s="148"/>
      <c r="L1" s="148"/>
      <c r="M1" s="148"/>
      <c r="N1" s="148"/>
      <c r="O1" s="148"/>
      <c r="P1" s="148"/>
      <c r="AS1" s="1">
        <f>SUM(AJ1:AJ2)</f>
        <v>0</v>
      </c>
      <c r="AT1" s="1">
        <f>SUM(AK1:AK2)</f>
        <v>0</v>
      </c>
      <c r="AU1" s="1">
        <f>SUM(AL1:AL2)</f>
        <v>0</v>
      </c>
    </row>
    <row r="2" spans="1:76" x14ac:dyDescent="0.25">
      <c r="A2" s="149" t="s">
        <v>0</v>
      </c>
      <c r="B2" s="150"/>
      <c r="C2" s="150"/>
      <c r="D2" s="155" t="s">
        <v>1</v>
      </c>
      <c r="E2" s="156"/>
      <c r="F2" s="150" t="s">
        <v>2</v>
      </c>
      <c r="G2" s="150"/>
      <c r="H2" s="150" t="s">
        <v>3</v>
      </c>
      <c r="I2" s="146" t="s">
        <v>4</v>
      </c>
      <c r="J2" s="146" t="s">
        <v>5</v>
      </c>
      <c r="K2" s="150"/>
      <c r="L2" s="150"/>
      <c r="M2" s="150"/>
      <c r="N2" s="150"/>
      <c r="O2" s="150"/>
      <c r="P2" s="152"/>
    </row>
    <row r="3" spans="1:76" x14ac:dyDescent="0.25">
      <c r="A3" s="151"/>
      <c r="B3" s="107"/>
      <c r="C3" s="107"/>
      <c r="D3" s="157"/>
      <c r="E3" s="157"/>
      <c r="F3" s="107"/>
      <c r="G3" s="107"/>
      <c r="H3" s="107"/>
      <c r="I3" s="107"/>
      <c r="J3" s="107"/>
      <c r="K3" s="107"/>
      <c r="L3" s="107"/>
      <c r="M3" s="107"/>
      <c r="N3" s="107"/>
      <c r="O3" s="107"/>
      <c r="P3" s="153"/>
    </row>
    <row r="4" spans="1:76" x14ac:dyDescent="0.25">
      <c r="A4" s="144" t="s">
        <v>6</v>
      </c>
      <c r="B4" s="107"/>
      <c r="C4" s="107"/>
      <c r="D4" s="106" t="s">
        <v>821</v>
      </c>
      <c r="E4" s="107"/>
      <c r="F4" s="107" t="s">
        <v>7</v>
      </c>
      <c r="G4" s="107"/>
      <c r="H4" s="107"/>
      <c r="I4" s="106" t="s">
        <v>8</v>
      </c>
      <c r="J4" s="106" t="s">
        <v>9</v>
      </c>
      <c r="K4" s="107"/>
      <c r="L4" s="107"/>
      <c r="M4" s="107"/>
      <c r="N4" s="107"/>
      <c r="O4" s="107"/>
      <c r="P4" s="153"/>
    </row>
    <row r="5" spans="1:76" ht="31.5" customHeight="1" x14ac:dyDescent="0.25">
      <c r="A5" s="151"/>
      <c r="B5" s="107"/>
      <c r="C5" s="107"/>
      <c r="D5" s="107"/>
      <c r="E5" s="107"/>
      <c r="F5" s="107"/>
      <c r="G5" s="107"/>
      <c r="H5" s="107"/>
      <c r="I5" s="107"/>
      <c r="J5" s="107"/>
      <c r="K5" s="107"/>
      <c r="L5" s="107"/>
      <c r="M5" s="107"/>
      <c r="N5" s="107"/>
      <c r="O5" s="107"/>
      <c r="P5" s="153"/>
    </row>
    <row r="6" spans="1:76" x14ac:dyDescent="0.25">
      <c r="A6" s="144" t="s">
        <v>10</v>
      </c>
      <c r="B6" s="107"/>
      <c r="C6" s="107"/>
      <c r="D6" s="106" t="s">
        <v>11</v>
      </c>
      <c r="E6" s="107"/>
      <c r="F6" s="107" t="s">
        <v>12</v>
      </c>
      <c r="G6" s="107"/>
      <c r="H6" s="107" t="s">
        <v>3</v>
      </c>
      <c r="I6" s="106" t="s">
        <v>13</v>
      </c>
      <c r="J6" s="106" t="s">
        <v>14</v>
      </c>
      <c r="K6" s="107"/>
      <c r="L6" s="107"/>
      <c r="M6" s="107"/>
      <c r="N6" s="107"/>
      <c r="O6" s="107"/>
      <c r="P6" s="153"/>
    </row>
    <row r="7" spans="1:76" x14ac:dyDescent="0.25">
      <c r="A7" s="151"/>
      <c r="B7" s="107"/>
      <c r="C7" s="107"/>
      <c r="D7" s="107"/>
      <c r="E7" s="107"/>
      <c r="F7" s="107"/>
      <c r="G7" s="107"/>
      <c r="H7" s="107"/>
      <c r="I7" s="107"/>
      <c r="J7" s="107"/>
      <c r="K7" s="107"/>
      <c r="L7" s="107"/>
      <c r="M7" s="107"/>
      <c r="N7" s="107"/>
      <c r="O7" s="107"/>
      <c r="P7" s="153"/>
    </row>
    <row r="8" spans="1:76" x14ac:dyDescent="0.25">
      <c r="A8" s="144" t="s">
        <v>15</v>
      </c>
      <c r="B8" s="107"/>
      <c r="C8" s="107"/>
      <c r="D8" s="106" t="s">
        <v>16</v>
      </c>
      <c r="E8" s="107"/>
      <c r="F8" s="107" t="s">
        <v>17</v>
      </c>
      <c r="G8" s="107"/>
      <c r="H8" s="107" t="s">
        <v>18</v>
      </c>
      <c r="I8" s="106" t="s">
        <v>19</v>
      </c>
      <c r="J8" s="106" t="s">
        <v>9</v>
      </c>
      <c r="K8" s="107"/>
      <c r="L8" s="107"/>
      <c r="M8" s="107"/>
      <c r="N8" s="107"/>
      <c r="O8" s="107"/>
      <c r="P8" s="153"/>
    </row>
    <row r="9" spans="1:76" x14ac:dyDescent="0.25">
      <c r="A9" s="161"/>
      <c r="B9" s="160"/>
      <c r="C9" s="160"/>
      <c r="D9" s="160"/>
      <c r="E9" s="160"/>
      <c r="F9" s="160"/>
      <c r="G9" s="160"/>
      <c r="H9" s="160"/>
      <c r="I9" s="160"/>
      <c r="J9" s="160"/>
      <c r="K9" s="160"/>
      <c r="L9" s="160"/>
      <c r="M9" s="160"/>
      <c r="N9" s="160"/>
      <c r="O9" s="160"/>
      <c r="P9" s="159"/>
    </row>
    <row r="10" spans="1:76" x14ac:dyDescent="0.25">
      <c r="A10" s="5" t="s">
        <v>20</v>
      </c>
      <c r="B10" s="6" t="s">
        <v>21</v>
      </c>
      <c r="C10" s="6" t="s">
        <v>22</v>
      </c>
      <c r="D10" s="181" t="s">
        <v>23</v>
      </c>
      <c r="E10" s="182"/>
      <c r="F10" s="6" t="s">
        <v>24</v>
      </c>
      <c r="G10" s="7" t="s">
        <v>25</v>
      </c>
      <c r="H10" s="8" t="s">
        <v>26</v>
      </c>
      <c r="I10" s="9" t="s">
        <v>27</v>
      </c>
      <c r="J10" s="174" t="s">
        <v>28</v>
      </c>
      <c r="K10" s="175"/>
      <c r="L10" s="176"/>
      <c r="M10" s="10" t="s">
        <v>28</v>
      </c>
      <c r="N10" s="177" t="s">
        <v>29</v>
      </c>
      <c r="O10" s="178"/>
      <c r="P10" s="11" t="s">
        <v>30</v>
      </c>
      <c r="BK10" s="12" t="s">
        <v>31</v>
      </c>
      <c r="BL10" s="13" t="s">
        <v>32</v>
      </c>
      <c r="BW10" s="13" t="s">
        <v>33</v>
      </c>
    </row>
    <row r="11" spans="1:76" x14ac:dyDescent="0.25">
      <c r="A11" s="14" t="s">
        <v>3</v>
      </c>
      <c r="B11" s="15" t="s">
        <v>3</v>
      </c>
      <c r="C11" s="15" t="s">
        <v>3</v>
      </c>
      <c r="D11" s="172" t="s">
        <v>34</v>
      </c>
      <c r="E11" s="173"/>
      <c r="F11" s="15" t="s">
        <v>3</v>
      </c>
      <c r="G11" s="15" t="s">
        <v>3</v>
      </c>
      <c r="H11" s="16" t="s">
        <v>35</v>
      </c>
      <c r="I11" s="17" t="s">
        <v>3</v>
      </c>
      <c r="J11" s="18" t="s">
        <v>36</v>
      </c>
      <c r="K11" s="19" t="s">
        <v>37</v>
      </c>
      <c r="L11" s="20" t="s">
        <v>38</v>
      </c>
      <c r="M11" s="21" t="s">
        <v>39</v>
      </c>
      <c r="N11" s="22" t="s">
        <v>40</v>
      </c>
      <c r="O11" s="23" t="s">
        <v>38</v>
      </c>
      <c r="P11" s="24" t="s">
        <v>41</v>
      </c>
      <c r="Z11" s="12" t="s">
        <v>42</v>
      </c>
      <c r="AA11" s="12" t="s">
        <v>43</v>
      </c>
      <c r="AB11" s="12" t="s">
        <v>44</v>
      </c>
      <c r="AC11" s="12" t="s">
        <v>45</v>
      </c>
      <c r="AD11" s="12" t="s">
        <v>46</v>
      </c>
      <c r="AE11" s="12" t="s">
        <v>47</v>
      </c>
      <c r="AF11" s="12" t="s">
        <v>48</v>
      </c>
      <c r="AG11" s="12" t="s">
        <v>49</v>
      </c>
      <c r="AH11" s="12" t="s">
        <v>50</v>
      </c>
      <c r="BH11" s="12" t="s">
        <v>51</v>
      </c>
      <c r="BI11" s="12" t="s">
        <v>52</v>
      </c>
      <c r="BJ11" s="12" t="s">
        <v>53</v>
      </c>
    </row>
    <row r="12" spans="1:76" x14ac:dyDescent="0.25">
      <c r="A12" s="25" t="s">
        <v>54</v>
      </c>
      <c r="B12" s="26" t="s">
        <v>55</v>
      </c>
      <c r="C12" s="26" t="s">
        <v>54</v>
      </c>
      <c r="D12" s="179" t="s">
        <v>56</v>
      </c>
      <c r="E12" s="180"/>
      <c r="F12" s="27" t="s">
        <v>3</v>
      </c>
      <c r="G12" s="27" t="s">
        <v>3</v>
      </c>
      <c r="H12" s="27" t="s">
        <v>3</v>
      </c>
      <c r="I12" s="27" t="s">
        <v>3</v>
      </c>
      <c r="J12" s="28">
        <f>J13+J35+J44+J51+J56+J59+J79+J86</f>
        <v>0</v>
      </c>
      <c r="K12" s="28">
        <f>K13+K35+K44+K51+K56+K59+K79+K86</f>
        <v>0</v>
      </c>
      <c r="L12" s="28">
        <f>L13+L35+L44+L51+L56+L59+L79+L86</f>
        <v>0</v>
      </c>
      <c r="M12" s="28">
        <f>M13+M35+M44+M51+M56+M59+M79+M86</f>
        <v>0</v>
      </c>
      <c r="N12" s="29" t="s">
        <v>54</v>
      </c>
      <c r="O12" s="28">
        <f>O13+O35+O44+O51+O56+O59+O79+O86</f>
        <v>423.29884000000004</v>
      </c>
      <c r="P12" s="30" t="s">
        <v>54</v>
      </c>
    </row>
    <row r="13" spans="1:76" x14ac:dyDescent="0.25">
      <c r="A13" s="31" t="s">
        <v>54</v>
      </c>
      <c r="B13" s="32" t="s">
        <v>55</v>
      </c>
      <c r="C13" s="32" t="s">
        <v>57</v>
      </c>
      <c r="D13" s="164" t="s">
        <v>58</v>
      </c>
      <c r="E13" s="165"/>
      <c r="F13" s="33" t="s">
        <v>3</v>
      </c>
      <c r="G13" s="33" t="s">
        <v>3</v>
      </c>
      <c r="H13" s="33" t="s">
        <v>3</v>
      </c>
      <c r="I13" s="33" t="s">
        <v>3</v>
      </c>
      <c r="J13" s="1">
        <f>SUM(J14:J33)</f>
        <v>0</v>
      </c>
      <c r="K13" s="1">
        <f>SUM(K14:K33)</f>
        <v>0</v>
      </c>
      <c r="L13" s="1">
        <f>SUM(L14:L33)</f>
        <v>0</v>
      </c>
      <c r="M13" s="1">
        <f>SUM(M14:M33)</f>
        <v>0</v>
      </c>
      <c r="N13" s="12" t="s">
        <v>54</v>
      </c>
      <c r="O13" s="1">
        <f>SUM(O14:O33)</f>
        <v>292.04468000000003</v>
      </c>
      <c r="P13" s="34" t="s">
        <v>54</v>
      </c>
      <c r="AI13" s="12" t="s">
        <v>55</v>
      </c>
      <c r="AS13" s="1">
        <f>SUM(AJ14:AJ33)</f>
        <v>0</v>
      </c>
      <c r="AT13" s="1">
        <f>SUM(AK14:AK33)</f>
        <v>0</v>
      </c>
      <c r="AU13" s="1">
        <f>SUM(AL14:AL33)</f>
        <v>0</v>
      </c>
    </row>
    <row r="14" spans="1:76" x14ac:dyDescent="0.25">
      <c r="A14" s="2" t="s">
        <v>59</v>
      </c>
      <c r="B14" s="3" t="s">
        <v>55</v>
      </c>
      <c r="C14" s="3" t="s">
        <v>60</v>
      </c>
      <c r="D14" s="106" t="s">
        <v>61</v>
      </c>
      <c r="E14" s="107"/>
      <c r="F14" s="3" t="s">
        <v>62</v>
      </c>
      <c r="G14" s="35">
        <v>119.5</v>
      </c>
      <c r="H14" s="35"/>
      <c r="I14" s="36" t="s">
        <v>63</v>
      </c>
      <c r="J14" s="35">
        <f>G14*AO14</f>
        <v>0</v>
      </c>
      <c r="K14" s="35">
        <f>G14*AP14</f>
        <v>0</v>
      </c>
      <c r="L14" s="35">
        <f>G14*H14</f>
        <v>0</v>
      </c>
      <c r="M14" s="35">
        <f>L14*(1+BW14/100)</f>
        <v>0</v>
      </c>
      <c r="N14" s="35">
        <v>0.27</v>
      </c>
      <c r="O14" s="35">
        <f>G14*N14</f>
        <v>32.265000000000001</v>
      </c>
      <c r="P14" s="37" t="s">
        <v>64</v>
      </c>
      <c r="Z14" s="35">
        <f>IF(AQ14="5",BJ14,0)</f>
        <v>0</v>
      </c>
      <c r="AB14" s="35">
        <f>IF(AQ14="1",BH14,0)</f>
        <v>0</v>
      </c>
      <c r="AC14" s="35">
        <f>IF(AQ14="1",BI14,0)</f>
        <v>0</v>
      </c>
      <c r="AD14" s="35">
        <f>IF(AQ14="7",BH14,0)</f>
        <v>0</v>
      </c>
      <c r="AE14" s="35">
        <f>IF(AQ14="7",BI14,0)</f>
        <v>0</v>
      </c>
      <c r="AF14" s="35">
        <f>IF(AQ14="2",BH14,0)</f>
        <v>0</v>
      </c>
      <c r="AG14" s="35">
        <f>IF(AQ14="2",BI14,0)</f>
        <v>0</v>
      </c>
      <c r="AH14" s="35">
        <f>IF(AQ14="0",BJ14,0)</f>
        <v>0</v>
      </c>
      <c r="AI14" s="12" t="s">
        <v>55</v>
      </c>
      <c r="AJ14" s="35">
        <f>IF(AN14=0,L14,0)</f>
        <v>0</v>
      </c>
      <c r="AK14" s="35">
        <f>IF(AN14=12,L14,0)</f>
        <v>0</v>
      </c>
      <c r="AL14" s="35">
        <f>IF(AN14=21,L14,0)</f>
        <v>0</v>
      </c>
      <c r="AN14" s="35">
        <v>21</v>
      </c>
      <c r="AO14" s="35">
        <f>H14*0</f>
        <v>0</v>
      </c>
      <c r="AP14" s="35">
        <f>H14*(1-0)</f>
        <v>0</v>
      </c>
      <c r="AQ14" s="36" t="s">
        <v>59</v>
      </c>
      <c r="AV14" s="35">
        <f>AW14+AX14</f>
        <v>0</v>
      </c>
      <c r="AW14" s="35">
        <f>G14*AO14</f>
        <v>0</v>
      </c>
      <c r="AX14" s="35">
        <f>G14*AP14</f>
        <v>0</v>
      </c>
      <c r="AY14" s="36" t="s">
        <v>65</v>
      </c>
      <c r="AZ14" s="36" t="s">
        <v>66</v>
      </c>
      <c r="BA14" s="12" t="s">
        <v>67</v>
      </c>
      <c r="BC14" s="35">
        <f>AW14+AX14</f>
        <v>0</v>
      </c>
      <c r="BD14" s="35">
        <f>H14/(100-BE14)*100</f>
        <v>0</v>
      </c>
      <c r="BE14" s="35">
        <v>0</v>
      </c>
      <c r="BF14" s="35">
        <f>O14</f>
        <v>32.265000000000001</v>
      </c>
      <c r="BH14" s="35">
        <f>G14*AO14</f>
        <v>0</v>
      </c>
      <c r="BI14" s="35">
        <f>G14*AP14</f>
        <v>0</v>
      </c>
      <c r="BJ14" s="35">
        <f>G14*H14</f>
        <v>0</v>
      </c>
      <c r="BK14" s="35"/>
      <c r="BL14" s="35">
        <v>11</v>
      </c>
      <c r="BW14" s="35" t="str">
        <f>I14</f>
        <v>21</v>
      </c>
      <c r="BX14" s="4" t="s">
        <v>61</v>
      </c>
    </row>
    <row r="15" spans="1:76" x14ac:dyDescent="0.25">
      <c r="A15" s="38"/>
      <c r="D15" s="39" t="s">
        <v>68</v>
      </c>
      <c r="E15" s="39" t="s">
        <v>54</v>
      </c>
      <c r="G15" s="40">
        <v>119.5</v>
      </c>
      <c r="P15" s="41"/>
    </row>
    <row r="16" spans="1:76" x14ac:dyDescent="0.25">
      <c r="A16" s="2" t="s">
        <v>69</v>
      </c>
      <c r="B16" s="3" t="s">
        <v>55</v>
      </c>
      <c r="C16" s="3" t="s">
        <v>70</v>
      </c>
      <c r="D16" s="106" t="s">
        <v>71</v>
      </c>
      <c r="E16" s="107"/>
      <c r="F16" s="3" t="s">
        <v>72</v>
      </c>
      <c r="G16" s="35">
        <v>12.49</v>
      </c>
      <c r="H16" s="35"/>
      <c r="I16" s="36" t="s">
        <v>63</v>
      </c>
      <c r="J16" s="35">
        <f>G16*AO16</f>
        <v>0</v>
      </c>
      <c r="K16" s="35">
        <f>G16*AP16</f>
        <v>0</v>
      </c>
      <c r="L16" s="35">
        <f>G16*H16</f>
        <v>0</v>
      </c>
      <c r="M16" s="35">
        <f>L16*(1+BW16/100)</f>
        <v>0</v>
      </c>
      <c r="N16" s="35">
        <v>0.22</v>
      </c>
      <c r="O16" s="35">
        <f>G16*N16</f>
        <v>2.7478000000000002</v>
      </c>
      <c r="P16" s="37" t="s">
        <v>64</v>
      </c>
      <c r="Z16" s="35">
        <f>IF(AQ16="5",BJ16,0)</f>
        <v>0</v>
      </c>
      <c r="AB16" s="35">
        <f>IF(AQ16="1",BH16,0)</f>
        <v>0</v>
      </c>
      <c r="AC16" s="35">
        <f>IF(AQ16="1",BI16,0)</f>
        <v>0</v>
      </c>
      <c r="AD16" s="35">
        <f>IF(AQ16="7",BH16,0)</f>
        <v>0</v>
      </c>
      <c r="AE16" s="35">
        <f>IF(AQ16="7",BI16,0)</f>
        <v>0</v>
      </c>
      <c r="AF16" s="35">
        <f>IF(AQ16="2",BH16,0)</f>
        <v>0</v>
      </c>
      <c r="AG16" s="35">
        <f>IF(AQ16="2",BI16,0)</f>
        <v>0</v>
      </c>
      <c r="AH16" s="35">
        <f>IF(AQ16="0",BJ16,0)</f>
        <v>0</v>
      </c>
      <c r="AI16" s="12" t="s">
        <v>55</v>
      </c>
      <c r="AJ16" s="35">
        <f>IF(AN16=0,L16,0)</f>
        <v>0</v>
      </c>
      <c r="AK16" s="35">
        <f>IF(AN16=12,L16,0)</f>
        <v>0</v>
      </c>
      <c r="AL16" s="35">
        <f>IF(AN16=21,L16,0)</f>
        <v>0</v>
      </c>
      <c r="AN16" s="35">
        <v>21</v>
      </c>
      <c r="AO16" s="35">
        <f>H16*0</f>
        <v>0</v>
      </c>
      <c r="AP16" s="35">
        <f>H16*(1-0)</f>
        <v>0</v>
      </c>
      <c r="AQ16" s="36" t="s">
        <v>59</v>
      </c>
      <c r="AV16" s="35">
        <f>AW16+AX16</f>
        <v>0</v>
      </c>
      <c r="AW16" s="35">
        <f>G16*AO16</f>
        <v>0</v>
      </c>
      <c r="AX16" s="35">
        <f>G16*AP16</f>
        <v>0</v>
      </c>
      <c r="AY16" s="36" t="s">
        <v>65</v>
      </c>
      <c r="AZ16" s="36" t="s">
        <v>66</v>
      </c>
      <c r="BA16" s="12" t="s">
        <v>67</v>
      </c>
      <c r="BC16" s="35">
        <f>AW16+AX16</f>
        <v>0</v>
      </c>
      <c r="BD16" s="35">
        <f>H16/(100-BE16)*100</f>
        <v>0</v>
      </c>
      <c r="BE16" s="35">
        <v>0</v>
      </c>
      <c r="BF16" s="35">
        <f>O16</f>
        <v>2.7478000000000002</v>
      </c>
      <c r="BH16" s="35">
        <f>G16*AO16</f>
        <v>0</v>
      </c>
      <c r="BI16" s="35">
        <f>G16*AP16</f>
        <v>0</v>
      </c>
      <c r="BJ16" s="35">
        <f>G16*H16</f>
        <v>0</v>
      </c>
      <c r="BK16" s="35"/>
      <c r="BL16" s="35">
        <v>11</v>
      </c>
      <c r="BW16" s="35" t="str">
        <f>I16</f>
        <v>21</v>
      </c>
      <c r="BX16" s="4" t="s">
        <v>71</v>
      </c>
    </row>
    <row r="17" spans="1:76" x14ac:dyDescent="0.25">
      <c r="A17" s="38"/>
      <c r="D17" s="39" t="s">
        <v>73</v>
      </c>
      <c r="E17" s="39" t="s">
        <v>74</v>
      </c>
      <c r="G17" s="40">
        <v>12.49</v>
      </c>
      <c r="P17" s="41"/>
    </row>
    <row r="18" spans="1:76" x14ac:dyDescent="0.25">
      <c r="A18" s="2" t="s">
        <v>75</v>
      </c>
      <c r="B18" s="3" t="s">
        <v>55</v>
      </c>
      <c r="C18" s="3" t="s">
        <v>76</v>
      </c>
      <c r="D18" s="106" t="s">
        <v>77</v>
      </c>
      <c r="E18" s="107"/>
      <c r="F18" s="3" t="s">
        <v>72</v>
      </c>
      <c r="G18" s="35">
        <v>138.53</v>
      </c>
      <c r="H18" s="35"/>
      <c r="I18" s="36" t="s">
        <v>63</v>
      </c>
      <c r="J18" s="35">
        <f>G18*AO18</f>
        <v>0</v>
      </c>
      <c r="K18" s="35">
        <f>G18*AP18</f>
        <v>0</v>
      </c>
      <c r="L18" s="35">
        <f>G18*H18</f>
        <v>0</v>
      </c>
      <c r="M18" s="35">
        <f>L18*(1+BW18/100)</f>
        <v>0</v>
      </c>
      <c r="N18" s="35">
        <v>0.66</v>
      </c>
      <c r="O18" s="35">
        <f>G18*N18</f>
        <v>91.4298</v>
      </c>
      <c r="P18" s="37" t="s">
        <v>64</v>
      </c>
      <c r="Z18" s="35">
        <f>IF(AQ18="5",BJ18,0)</f>
        <v>0</v>
      </c>
      <c r="AB18" s="35">
        <f>IF(AQ18="1",BH18,0)</f>
        <v>0</v>
      </c>
      <c r="AC18" s="35">
        <f>IF(AQ18="1",BI18,0)</f>
        <v>0</v>
      </c>
      <c r="AD18" s="35">
        <f>IF(AQ18="7",BH18,0)</f>
        <v>0</v>
      </c>
      <c r="AE18" s="35">
        <f>IF(AQ18="7",BI18,0)</f>
        <v>0</v>
      </c>
      <c r="AF18" s="35">
        <f>IF(AQ18="2",BH18,0)</f>
        <v>0</v>
      </c>
      <c r="AG18" s="35">
        <f>IF(AQ18="2",BI18,0)</f>
        <v>0</v>
      </c>
      <c r="AH18" s="35">
        <f>IF(AQ18="0",BJ18,0)</f>
        <v>0</v>
      </c>
      <c r="AI18" s="12" t="s">
        <v>55</v>
      </c>
      <c r="AJ18" s="35">
        <f>IF(AN18=0,L18,0)</f>
        <v>0</v>
      </c>
      <c r="AK18" s="35">
        <f>IF(AN18=12,L18,0)</f>
        <v>0</v>
      </c>
      <c r="AL18" s="35">
        <f>IF(AN18=21,L18,0)</f>
        <v>0</v>
      </c>
      <c r="AN18" s="35">
        <v>21</v>
      </c>
      <c r="AO18" s="35">
        <f>H18*0</f>
        <v>0</v>
      </c>
      <c r="AP18" s="35">
        <f>H18*(1-0)</f>
        <v>0</v>
      </c>
      <c r="AQ18" s="36" t="s">
        <v>59</v>
      </c>
      <c r="AV18" s="35">
        <f>AW18+AX18</f>
        <v>0</v>
      </c>
      <c r="AW18" s="35">
        <f>G18*AO18</f>
        <v>0</v>
      </c>
      <c r="AX18" s="35">
        <f>G18*AP18</f>
        <v>0</v>
      </c>
      <c r="AY18" s="36" t="s">
        <v>65</v>
      </c>
      <c r="AZ18" s="36" t="s">
        <v>66</v>
      </c>
      <c r="BA18" s="12" t="s">
        <v>67</v>
      </c>
      <c r="BC18" s="35">
        <f>AW18+AX18</f>
        <v>0</v>
      </c>
      <c r="BD18" s="35">
        <f>H18/(100-BE18)*100</f>
        <v>0</v>
      </c>
      <c r="BE18" s="35">
        <v>0</v>
      </c>
      <c r="BF18" s="35">
        <f>O18</f>
        <v>91.4298</v>
      </c>
      <c r="BH18" s="35">
        <f>G18*AO18</f>
        <v>0</v>
      </c>
      <c r="BI18" s="35">
        <f>G18*AP18</f>
        <v>0</v>
      </c>
      <c r="BJ18" s="35">
        <f>G18*H18</f>
        <v>0</v>
      </c>
      <c r="BK18" s="35"/>
      <c r="BL18" s="35">
        <v>11</v>
      </c>
      <c r="BW18" s="35" t="str">
        <f>I18</f>
        <v>21</v>
      </c>
      <c r="BX18" s="4" t="s">
        <v>77</v>
      </c>
    </row>
    <row r="19" spans="1:76" x14ac:dyDescent="0.25">
      <c r="A19" s="38"/>
      <c r="D19" s="39" t="s">
        <v>78</v>
      </c>
      <c r="E19" s="39" t="s">
        <v>79</v>
      </c>
      <c r="G19" s="40">
        <v>83.53</v>
      </c>
      <c r="P19" s="41"/>
    </row>
    <row r="20" spans="1:76" x14ac:dyDescent="0.25">
      <c r="A20" s="38"/>
      <c r="D20" s="39" t="s">
        <v>80</v>
      </c>
      <c r="E20" s="39" t="s">
        <v>81</v>
      </c>
      <c r="G20" s="40">
        <v>55</v>
      </c>
      <c r="P20" s="41"/>
    </row>
    <row r="21" spans="1:76" ht="25.5" x14ac:dyDescent="0.25">
      <c r="A21" s="2" t="s">
        <v>82</v>
      </c>
      <c r="B21" s="3" t="s">
        <v>55</v>
      </c>
      <c r="C21" s="3" t="s">
        <v>83</v>
      </c>
      <c r="D21" s="106" t="s">
        <v>84</v>
      </c>
      <c r="E21" s="107"/>
      <c r="F21" s="3" t="s">
        <v>72</v>
      </c>
      <c r="G21" s="35">
        <v>319.25</v>
      </c>
      <c r="H21" s="35"/>
      <c r="I21" s="36" t="s">
        <v>63</v>
      </c>
      <c r="J21" s="35">
        <f>G21*AO21</f>
        <v>0</v>
      </c>
      <c r="K21" s="35">
        <f>G21*AP21</f>
        <v>0</v>
      </c>
      <c r="L21" s="35">
        <f>G21*H21</f>
        <v>0</v>
      </c>
      <c r="M21" s="35">
        <f>L21*(1+BW21/100)</f>
        <v>0</v>
      </c>
      <c r="N21" s="35">
        <v>0.44</v>
      </c>
      <c r="O21" s="35">
        <f>G21*N21</f>
        <v>140.47</v>
      </c>
      <c r="P21" s="37" t="s">
        <v>64</v>
      </c>
      <c r="Z21" s="35">
        <f>IF(AQ21="5",BJ21,0)</f>
        <v>0</v>
      </c>
      <c r="AB21" s="35">
        <f>IF(AQ21="1",BH21,0)</f>
        <v>0</v>
      </c>
      <c r="AC21" s="35">
        <f>IF(AQ21="1",BI21,0)</f>
        <v>0</v>
      </c>
      <c r="AD21" s="35">
        <f>IF(AQ21="7",BH21,0)</f>
        <v>0</v>
      </c>
      <c r="AE21" s="35">
        <f>IF(AQ21="7",BI21,0)</f>
        <v>0</v>
      </c>
      <c r="AF21" s="35">
        <f>IF(AQ21="2",BH21,0)</f>
        <v>0</v>
      </c>
      <c r="AG21" s="35">
        <f>IF(AQ21="2",BI21,0)</f>
        <v>0</v>
      </c>
      <c r="AH21" s="35">
        <f>IF(AQ21="0",BJ21,0)</f>
        <v>0</v>
      </c>
      <c r="AI21" s="12" t="s">
        <v>55</v>
      </c>
      <c r="AJ21" s="35">
        <f>IF(AN21=0,L21,0)</f>
        <v>0</v>
      </c>
      <c r="AK21" s="35">
        <f>IF(AN21=12,L21,0)</f>
        <v>0</v>
      </c>
      <c r="AL21" s="35">
        <f>IF(AN21=21,L21,0)</f>
        <v>0</v>
      </c>
      <c r="AN21" s="35">
        <v>21</v>
      </c>
      <c r="AO21" s="35">
        <f>H21*0</f>
        <v>0</v>
      </c>
      <c r="AP21" s="35">
        <f>H21*(1-0)</f>
        <v>0</v>
      </c>
      <c r="AQ21" s="36" t="s">
        <v>59</v>
      </c>
      <c r="AV21" s="35">
        <f>AW21+AX21</f>
        <v>0</v>
      </c>
      <c r="AW21" s="35">
        <f>G21*AO21</f>
        <v>0</v>
      </c>
      <c r="AX21" s="35">
        <f>G21*AP21</f>
        <v>0</v>
      </c>
      <c r="AY21" s="36" t="s">
        <v>65</v>
      </c>
      <c r="AZ21" s="36" t="s">
        <v>66</v>
      </c>
      <c r="BA21" s="12" t="s">
        <v>67</v>
      </c>
      <c r="BC21" s="35">
        <f>AW21+AX21</f>
        <v>0</v>
      </c>
      <c r="BD21" s="35">
        <f>H21/(100-BE21)*100</f>
        <v>0</v>
      </c>
      <c r="BE21" s="35">
        <v>0</v>
      </c>
      <c r="BF21" s="35">
        <f>O21</f>
        <v>140.47</v>
      </c>
      <c r="BH21" s="35">
        <f>G21*AO21</f>
        <v>0</v>
      </c>
      <c r="BI21" s="35">
        <f>G21*AP21</f>
        <v>0</v>
      </c>
      <c r="BJ21" s="35">
        <f>G21*H21</f>
        <v>0</v>
      </c>
      <c r="BK21" s="35"/>
      <c r="BL21" s="35">
        <v>11</v>
      </c>
      <c r="BW21" s="35" t="str">
        <f>I21</f>
        <v>21</v>
      </c>
      <c r="BX21" s="4" t="s">
        <v>84</v>
      </c>
    </row>
    <row r="22" spans="1:76" x14ac:dyDescent="0.25">
      <c r="A22" s="38"/>
      <c r="D22" s="39" t="s">
        <v>85</v>
      </c>
      <c r="E22" s="39" t="s">
        <v>86</v>
      </c>
      <c r="G22" s="40">
        <v>59.15</v>
      </c>
      <c r="P22" s="41"/>
    </row>
    <row r="23" spans="1:76" x14ac:dyDescent="0.25">
      <c r="A23" s="38"/>
      <c r="D23" s="39" t="s">
        <v>87</v>
      </c>
      <c r="E23" s="39" t="s">
        <v>54</v>
      </c>
      <c r="G23" s="40">
        <v>260.10000000000002</v>
      </c>
      <c r="P23" s="41"/>
    </row>
    <row r="24" spans="1:76" x14ac:dyDescent="0.25">
      <c r="A24" s="2" t="s">
        <v>88</v>
      </c>
      <c r="B24" s="3" t="s">
        <v>55</v>
      </c>
      <c r="C24" s="3" t="s">
        <v>89</v>
      </c>
      <c r="D24" s="106" t="s">
        <v>90</v>
      </c>
      <c r="E24" s="107"/>
      <c r="F24" s="3" t="s">
        <v>72</v>
      </c>
      <c r="G24" s="35">
        <v>37.799999999999997</v>
      </c>
      <c r="H24" s="35"/>
      <c r="I24" s="36" t="s">
        <v>63</v>
      </c>
      <c r="J24" s="35">
        <f>G24*AO24</f>
        <v>0</v>
      </c>
      <c r="K24" s="35">
        <f>G24*AP24</f>
        <v>0</v>
      </c>
      <c r="L24" s="35">
        <f>G24*H24</f>
        <v>0</v>
      </c>
      <c r="M24" s="35">
        <f>L24*(1+BW24/100)</f>
        <v>0</v>
      </c>
      <c r="N24" s="35">
        <v>0.11</v>
      </c>
      <c r="O24" s="35">
        <f>G24*N24</f>
        <v>4.1579999999999995</v>
      </c>
      <c r="P24" s="37" t="s">
        <v>64</v>
      </c>
      <c r="Z24" s="35">
        <f>IF(AQ24="5",BJ24,0)</f>
        <v>0</v>
      </c>
      <c r="AB24" s="35">
        <f>IF(AQ24="1",BH24,0)</f>
        <v>0</v>
      </c>
      <c r="AC24" s="35">
        <f>IF(AQ24="1",BI24,0)</f>
        <v>0</v>
      </c>
      <c r="AD24" s="35">
        <f>IF(AQ24="7",BH24,0)</f>
        <v>0</v>
      </c>
      <c r="AE24" s="35">
        <f>IF(AQ24="7",BI24,0)</f>
        <v>0</v>
      </c>
      <c r="AF24" s="35">
        <f>IF(AQ24="2",BH24,0)</f>
        <v>0</v>
      </c>
      <c r="AG24" s="35">
        <f>IF(AQ24="2",BI24,0)</f>
        <v>0</v>
      </c>
      <c r="AH24" s="35">
        <f>IF(AQ24="0",BJ24,0)</f>
        <v>0</v>
      </c>
      <c r="AI24" s="12" t="s">
        <v>55</v>
      </c>
      <c r="AJ24" s="35">
        <f>IF(AN24=0,L24,0)</f>
        <v>0</v>
      </c>
      <c r="AK24" s="35">
        <f>IF(AN24=12,L24,0)</f>
        <v>0</v>
      </c>
      <c r="AL24" s="35">
        <f>IF(AN24=21,L24,0)</f>
        <v>0</v>
      </c>
      <c r="AN24" s="35">
        <v>21</v>
      </c>
      <c r="AO24" s="35">
        <f>H24*0</f>
        <v>0</v>
      </c>
      <c r="AP24" s="35">
        <f>H24*(1-0)</f>
        <v>0</v>
      </c>
      <c r="AQ24" s="36" t="s">
        <v>59</v>
      </c>
      <c r="AV24" s="35">
        <f>AW24+AX24</f>
        <v>0</v>
      </c>
      <c r="AW24" s="35">
        <f>G24*AO24</f>
        <v>0</v>
      </c>
      <c r="AX24" s="35">
        <f>G24*AP24</f>
        <v>0</v>
      </c>
      <c r="AY24" s="36" t="s">
        <v>65</v>
      </c>
      <c r="AZ24" s="36" t="s">
        <v>66</v>
      </c>
      <c r="BA24" s="12" t="s">
        <v>67</v>
      </c>
      <c r="BC24" s="35">
        <f>AW24+AX24</f>
        <v>0</v>
      </c>
      <c r="BD24" s="35">
        <f>H24/(100-BE24)*100</f>
        <v>0</v>
      </c>
      <c r="BE24" s="35">
        <v>0</v>
      </c>
      <c r="BF24" s="35">
        <f>O24</f>
        <v>4.1579999999999995</v>
      </c>
      <c r="BH24" s="35">
        <f>G24*AO24</f>
        <v>0</v>
      </c>
      <c r="BI24" s="35">
        <f>G24*AP24</f>
        <v>0</v>
      </c>
      <c r="BJ24" s="35">
        <f>G24*H24</f>
        <v>0</v>
      </c>
      <c r="BK24" s="35"/>
      <c r="BL24" s="35">
        <v>11</v>
      </c>
      <c r="BW24" s="35" t="str">
        <f>I24</f>
        <v>21</v>
      </c>
      <c r="BX24" s="4" t="s">
        <v>90</v>
      </c>
    </row>
    <row r="25" spans="1:76" x14ac:dyDescent="0.25">
      <c r="A25" s="38"/>
      <c r="D25" s="39" t="s">
        <v>91</v>
      </c>
      <c r="E25" s="39" t="s">
        <v>54</v>
      </c>
      <c r="G25" s="40">
        <v>24.8</v>
      </c>
      <c r="P25" s="41"/>
    </row>
    <row r="26" spans="1:76" x14ac:dyDescent="0.25">
      <c r="A26" s="38"/>
      <c r="D26" s="39" t="s">
        <v>92</v>
      </c>
      <c r="E26" s="39" t="s">
        <v>93</v>
      </c>
      <c r="G26" s="40">
        <v>13</v>
      </c>
      <c r="P26" s="41"/>
    </row>
    <row r="27" spans="1:76" x14ac:dyDescent="0.25">
      <c r="A27" s="2" t="s">
        <v>94</v>
      </c>
      <c r="B27" s="3" t="s">
        <v>55</v>
      </c>
      <c r="C27" s="3" t="s">
        <v>95</v>
      </c>
      <c r="D27" s="106" t="s">
        <v>96</v>
      </c>
      <c r="E27" s="107"/>
      <c r="F27" s="3" t="s">
        <v>72</v>
      </c>
      <c r="G27" s="35">
        <v>34</v>
      </c>
      <c r="H27" s="35"/>
      <c r="I27" s="36" t="s">
        <v>63</v>
      </c>
      <c r="J27" s="35">
        <f>G27*AO27</f>
        <v>0</v>
      </c>
      <c r="K27" s="35">
        <f>G27*AP27</f>
        <v>0</v>
      </c>
      <c r="L27" s="35">
        <f>G27*H27</f>
        <v>0</v>
      </c>
      <c r="M27" s="35">
        <f>L27*(1+BW27/100)</f>
        <v>0</v>
      </c>
      <c r="N27" s="35">
        <v>0.13800000000000001</v>
      </c>
      <c r="O27" s="35">
        <f>G27*N27</f>
        <v>4.6920000000000002</v>
      </c>
      <c r="P27" s="37" t="s">
        <v>64</v>
      </c>
      <c r="Z27" s="35">
        <f>IF(AQ27="5",BJ27,0)</f>
        <v>0</v>
      </c>
      <c r="AB27" s="35">
        <f>IF(AQ27="1",BH27,0)</f>
        <v>0</v>
      </c>
      <c r="AC27" s="35">
        <f>IF(AQ27="1",BI27,0)</f>
        <v>0</v>
      </c>
      <c r="AD27" s="35">
        <f>IF(AQ27="7",BH27,0)</f>
        <v>0</v>
      </c>
      <c r="AE27" s="35">
        <f>IF(AQ27="7",BI27,0)</f>
        <v>0</v>
      </c>
      <c r="AF27" s="35">
        <f>IF(AQ27="2",BH27,0)</f>
        <v>0</v>
      </c>
      <c r="AG27" s="35">
        <f>IF(AQ27="2",BI27,0)</f>
        <v>0</v>
      </c>
      <c r="AH27" s="35">
        <f>IF(AQ27="0",BJ27,0)</f>
        <v>0</v>
      </c>
      <c r="AI27" s="12" t="s">
        <v>55</v>
      </c>
      <c r="AJ27" s="35">
        <f>IF(AN27=0,L27,0)</f>
        <v>0</v>
      </c>
      <c r="AK27" s="35">
        <f>IF(AN27=12,L27,0)</f>
        <v>0</v>
      </c>
      <c r="AL27" s="35">
        <f>IF(AN27=21,L27,0)</f>
        <v>0</v>
      </c>
      <c r="AN27" s="35">
        <v>21</v>
      </c>
      <c r="AO27" s="35">
        <f>H27*0</f>
        <v>0</v>
      </c>
      <c r="AP27" s="35">
        <f>H27*(1-0)</f>
        <v>0</v>
      </c>
      <c r="AQ27" s="36" t="s">
        <v>59</v>
      </c>
      <c r="AV27" s="35">
        <f>AW27+AX27</f>
        <v>0</v>
      </c>
      <c r="AW27" s="35">
        <f>G27*AO27</f>
        <v>0</v>
      </c>
      <c r="AX27" s="35">
        <f>G27*AP27</f>
        <v>0</v>
      </c>
      <c r="AY27" s="36" t="s">
        <v>65</v>
      </c>
      <c r="AZ27" s="36" t="s">
        <v>66</v>
      </c>
      <c r="BA27" s="12" t="s">
        <v>67</v>
      </c>
      <c r="BC27" s="35">
        <f>AW27+AX27</f>
        <v>0</v>
      </c>
      <c r="BD27" s="35">
        <f>H27/(100-BE27)*100</f>
        <v>0</v>
      </c>
      <c r="BE27" s="35">
        <v>0</v>
      </c>
      <c r="BF27" s="35">
        <f>O27</f>
        <v>4.6920000000000002</v>
      </c>
      <c r="BH27" s="35">
        <f>G27*AO27</f>
        <v>0</v>
      </c>
      <c r="BI27" s="35">
        <f>G27*AP27</f>
        <v>0</v>
      </c>
      <c r="BJ27" s="35">
        <f>G27*H27</f>
        <v>0</v>
      </c>
      <c r="BK27" s="35"/>
      <c r="BL27" s="35">
        <v>11</v>
      </c>
      <c r="BW27" s="35" t="str">
        <f>I27</f>
        <v>21</v>
      </c>
      <c r="BX27" s="4" t="s">
        <v>96</v>
      </c>
    </row>
    <row r="28" spans="1:76" x14ac:dyDescent="0.25">
      <c r="A28" s="38"/>
      <c r="D28" s="39" t="s">
        <v>97</v>
      </c>
      <c r="E28" s="39" t="s">
        <v>98</v>
      </c>
      <c r="G28" s="40">
        <v>34</v>
      </c>
      <c r="P28" s="41"/>
    </row>
    <row r="29" spans="1:76" x14ac:dyDescent="0.25">
      <c r="A29" s="2" t="s">
        <v>99</v>
      </c>
      <c r="B29" s="3" t="s">
        <v>55</v>
      </c>
      <c r="C29" s="3" t="s">
        <v>100</v>
      </c>
      <c r="D29" s="106" t="s">
        <v>101</v>
      </c>
      <c r="E29" s="107"/>
      <c r="F29" s="3" t="s">
        <v>72</v>
      </c>
      <c r="G29" s="35">
        <v>113.07</v>
      </c>
      <c r="H29" s="35"/>
      <c r="I29" s="36" t="s">
        <v>63</v>
      </c>
      <c r="J29" s="35">
        <f>G29*AO29</f>
        <v>0</v>
      </c>
      <c r="K29" s="35">
        <f>G29*AP29</f>
        <v>0</v>
      </c>
      <c r="L29" s="35">
        <f>G29*H29</f>
        <v>0</v>
      </c>
      <c r="M29" s="35">
        <f>L29*(1+BW29/100)</f>
        <v>0</v>
      </c>
      <c r="N29" s="35">
        <v>0.14399999999999999</v>
      </c>
      <c r="O29" s="35">
        <f>G29*N29</f>
        <v>16.282079999999997</v>
      </c>
      <c r="P29" s="37" t="s">
        <v>64</v>
      </c>
      <c r="Z29" s="35">
        <f>IF(AQ29="5",BJ29,0)</f>
        <v>0</v>
      </c>
      <c r="AB29" s="35">
        <f>IF(AQ29="1",BH29,0)</f>
        <v>0</v>
      </c>
      <c r="AC29" s="35">
        <f>IF(AQ29="1",BI29,0)</f>
        <v>0</v>
      </c>
      <c r="AD29" s="35">
        <f>IF(AQ29="7",BH29,0)</f>
        <v>0</v>
      </c>
      <c r="AE29" s="35">
        <f>IF(AQ29="7",BI29,0)</f>
        <v>0</v>
      </c>
      <c r="AF29" s="35">
        <f>IF(AQ29="2",BH29,0)</f>
        <v>0</v>
      </c>
      <c r="AG29" s="35">
        <f>IF(AQ29="2",BI29,0)</f>
        <v>0</v>
      </c>
      <c r="AH29" s="35">
        <f>IF(AQ29="0",BJ29,0)</f>
        <v>0</v>
      </c>
      <c r="AI29" s="12" t="s">
        <v>55</v>
      </c>
      <c r="AJ29" s="35">
        <f>IF(AN29=0,L29,0)</f>
        <v>0</v>
      </c>
      <c r="AK29" s="35">
        <f>IF(AN29=12,L29,0)</f>
        <v>0</v>
      </c>
      <c r="AL29" s="35">
        <f>IF(AN29=21,L29,0)</f>
        <v>0</v>
      </c>
      <c r="AN29" s="35">
        <v>21</v>
      </c>
      <c r="AO29" s="35">
        <f>H29*0</f>
        <v>0</v>
      </c>
      <c r="AP29" s="35">
        <f>H29*(1-0)</f>
        <v>0</v>
      </c>
      <c r="AQ29" s="36" t="s">
        <v>59</v>
      </c>
      <c r="AV29" s="35">
        <f>AW29+AX29</f>
        <v>0</v>
      </c>
      <c r="AW29" s="35">
        <f>G29*AO29</f>
        <v>0</v>
      </c>
      <c r="AX29" s="35">
        <f>G29*AP29</f>
        <v>0</v>
      </c>
      <c r="AY29" s="36" t="s">
        <v>65</v>
      </c>
      <c r="AZ29" s="36" t="s">
        <v>66</v>
      </c>
      <c r="BA29" s="12" t="s">
        <v>67</v>
      </c>
      <c r="BC29" s="35">
        <f>AW29+AX29</f>
        <v>0</v>
      </c>
      <c r="BD29" s="35">
        <f>H29/(100-BE29)*100</f>
        <v>0</v>
      </c>
      <c r="BE29" s="35">
        <v>0</v>
      </c>
      <c r="BF29" s="35">
        <f>O29</f>
        <v>16.282079999999997</v>
      </c>
      <c r="BH29" s="35">
        <f>G29*AO29</f>
        <v>0</v>
      </c>
      <c r="BI29" s="35">
        <f>G29*AP29</f>
        <v>0</v>
      </c>
      <c r="BJ29" s="35">
        <f>G29*H29</f>
        <v>0</v>
      </c>
      <c r="BK29" s="35"/>
      <c r="BL29" s="35">
        <v>11</v>
      </c>
      <c r="BW29" s="35" t="str">
        <f>I29</f>
        <v>21</v>
      </c>
      <c r="BX29" s="4" t="s">
        <v>101</v>
      </c>
    </row>
    <row r="30" spans="1:76" x14ac:dyDescent="0.25">
      <c r="A30" s="38"/>
      <c r="D30" s="39" t="s">
        <v>102</v>
      </c>
      <c r="E30" s="39" t="s">
        <v>103</v>
      </c>
      <c r="G30" s="40">
        <v>9.07</v>
      </c>
      <c r="P30" s="41"/>
    </row>
    <row r="31" spans="1:76" x14ac:dyDescent="0.25">
      <c r="A31" s="38"/>
      <c r="D31" s="39" t="s">
        <v>104</v>
      </c>
      <c r="E31" s="39" t="s">
        <v>79</v>
      </c>
      <c r="G31" s="40">
        <v>98.5</v>
      </c>
      <c r="P31" s="41"/>
    </row>
    <row r="32" spans="1:76" x14ac:dyDescent="0.25">
      <c r="A32" s="38"/>
      <c r="D32" s="39" t="s">
        <v>105</v>
      </c>
      <c r="E32" s="39" t="s">
        <v>106</v>
      </c>
      <c r="G32" s="40">
        <v>5.5</v>
      </c>
      <c r="P32" s="41"/>
    </row>
    <row r="33" spans="1:76" x14ac:dyDescent="0.25">
      <c r="A33" s="2" t="s">
        <v>107</v>
      </c>
      <c r="B33" s="3" t="s">
        <v>55</v>
      </c>
      <c r="C33" s="3" t="s">
        <v>108</v>
      </c>
      <c r="D33" s="106" t="s">
        <v>109</v>
      </c>
      <c r="E33" s="107"/>
      <c r="F33" s="3" t="s">
        <v>110</v>
      </c>
      <c r="G33" s="35">
        <v>8</v>
      </c>
      <c r="H33" s="35"/>
      <c r="I33" s="36" t="s">
        <v>63</v>
      </c>
      <c r="J33" s="35">
        <f>G33*AO33</f>
        <v>0</v>
      </c>
      <c r="K33" s="35">
        <f>G33*AP33</f>
        <v>0</v>
      </c>
      <c r="L33" s="35">
        <f>G33*H33</f>
        <v>0</v>
      </c>
      <c r="M33" s="35">
        <f>L33*(1+BW33/100)</f>
        <v>0</v>
      </c>
      <c r="N33" s="35">
        <v>0</v>
      </c>
      <c r="O33" s="35">
        <f>G33*N33</f>
        <v>0</v>
      </c>
      <c r="P33" s="37" t="s">
        <v>64</v>
      </c>
      <c r="Z33" s="35">
        <f>IF(AQ33="5",BJ33,0)</f>
        <v>0</v>
      </c>
      <c r="AB33" s="35">
        <f>IF(AQ33="1",BH33,0)</f>
        <v>0</v>
      </c>
      <c r="AC33" s="35">
        <f>IF(AQ33="1",BI33,0)</f>
        <v>0</v>
      </c>
      <c r="AD33" s="35">
        <f>IF(AQ33="7",BH33,0)</f>
        <v>0</v>
      </c>
      <c r="AE33" s="35">
        <f>IF(AQ33="7",BI33,0)</f>
        <v>0</v>
      </c>
      <c r="AF33" s="35">
        <f>IF(AQ33="2",BH33,0)</f>
        <v>0</v>
      </c>
      <c r="AG33" s="35">
        <f>IF(AQ33="2",BI33,0)</f>
        <v>0</v>
      </c>
      <c r="AH33" s="35">
        <f>IF(AQ33="0",BJ33,0)</f>
        <v>0</v>
      </c>
      <c r="AI33" s="12" t="s">
        <v>55</v>
      </c>
      <c r="AJ33" s="35">
        <f>IF(AN33=0,L33,0)</f>
        <v>0</v>
      </c>
      <c r="AK33" s="35">
        <f>IF(AN33=12,L33,0)</f>
        <v>0</v>
      </c>
      <c r="AL33" s="35">
        <f>IF(AN33=21,L33,0)</f>
        <v>0</v>
      </c>
      <c r="AN33" s="35">
        <v>21</v>
      </c>
      <c r="AO33" s="35">
        <f>H33*0</f>
        <v>0</v>
      </c>
      <c r="AP33" s="35">
        <f>H33*(1-0)</f>
        <v>0</v>
      </c>
      <c r="AQ33" s="36" t="s">
        <v>59</v>
      </c>
      <c r="AV33" s="35">
        <f>AW33+AX33</f>
        <v>0</v>
      </c>
      <c r="AW33" s="35">
        <f>G33*AO33</f>
        <v>0</v>
      </c>
      <c r="AX33" s="35">
        <f>G33*AP33</f>
        <v>0</v>
      </c>
      <c r="AY33" s="36" t="s">
        <v>65</v>
      </c>
      <c r="AZ33" s="36" t="s">
        <v>66</v>
      </c>
      <c r="BA33" s="12" t="s">
        <v>67</v>
      </c>
      <c r="BC33" s="35">
        <f>AW33+AX33</f>
        <v>0</v>
      </c>
      <c r="BD33" s="35">
        <f>H33/(100-BE33)*100</f>
        <v>0</v>
      </c>
      <c r="BE33" s="35">
        <v>0</v>
      </c>
      <c r="BF33" s="35">
        <f>O33</f>
        <v>0</v>
      </c>
      <c r="BH33" s="35">
        <f>G33*AO33</f>
        <v>0</v>
      </c>
      <c r="BI33" s="35">
        <f>G33*AP33</f>
        <v>0</v>
      </c>
      <c r="BJ33" s="35">
        <f>G33*H33</f>
        <v>0</v>
      </c>
      <c r="BK33" s="35"/>
      <c r="BL33" s="35">
        <v>11</v>
      </c>
      <c r="BW33" s="35" t="str">
        <f>I33</f>
        <v>21</v>
      </c>
      <c r="BX33" s="4" t="s">
        <v>109</v>
      </c>
    </row>
    <row r="34" spans="1:76" x14ac:dyDescent="0.25">
      <c r="A34" s="38"/>
      <c r="D34" s="39" t="s">
        <v>107</v>
      </c>
      <c r="E34" s="39" t="s">
        <v>54</v>
      </c>
      <c r="G34" s="40">
        <v>8</v>
      </c>
      <c r="P34" s="41"/>
    </row>
    <row r="35" spans="1:76" x14ac:dyDescent="0.25">
      <c r="A35" s="31" t="s">
        <v>54</v>
      </c>
      <c r="B35" s="32" t="s">
        <v>55</v>
      </c>
      <c r="C35" s="32" t="s">
        <v>111</v>
      </c>
      <c r="D35" s="164" t="s">
        <v>112</v>
      </c>
      <c r="E35" s="165"/>
      <c r="F35" s="33" t="s">
        <v>3</v>
      </c>
      <c r="G35" s="33" t="s">
        <v>3</v>
      </c>
      <c r="H35" s="33"/>
      <c r="I35" s="33" t="s">
        <v>3</v>
      </c>
      <c r="J35" s="1">
        <f>SUM(J36:J40)</f>
        <v>0</v>
      </c>
      <c r="K35" s="1">
        <f>SUM(K36:K40)</f>
        <v>0</v>
      </c>
      <c r="L35" s="1">
        <f>SUM(L36:L40)</f>
        <v>0</v>
      </c>
      <c r="M35" s="1">
        <f>SUM(M36:M40)</f>
        <v>0</v>
      </c>
      <c r="N35" s="12" t="s">
        <v>54</v>
      </c>
      <c r="O35" s="1">
        <f>SUM(O36:O40)</f>
        <v>0</v>
      </c>
      <c r="P35" s="34" t="s">
        <v>54</v>
      </c>
      <c r="AI35" s="12" t="s">
        <v>55</v>
      </c>
      <c r="AS35" s="1">
        <f>SUM(AJ36:AJ40)</f>
        <v>0</v>
      </c>
      <c r="AT35" s="1">
        <f>SUM(AK36:AK40)</f>
        <v>0</v>
      </c>
      <c r="AU35" s="1">
        <f>SUM(AL36:AL40)</f>
        <v>0</v>
      </c>
    </row>
    <row r="36" spans="1:76" ht="25.5" x14ac:dyDescent="0.25">
      <c r="A36" s="2" t="s">
        <v>113</v>
      </c>
      <c r="B36" s="3" t="s">
        <v>55</v>
      </c>
      <c r="C36" s="3" t="s">
        <v>114</v>
      </c>
      <c r="D36" s="106" t="s">
        <v>115</v>
      </c>
      <c r="E36" s="107"/>
      <c r="F36" s="3" t="s">
        <v>116</v>
      </c>
      <c r="G36" s="35">
        <v>39.863</v>
      </c>
      <c r="H36" s="35"/>
      <c r="I36" s="36" t="s">
        <v>63</v>
      </c>
      <c r="J36" s="35">
        <f>G36*AO36</f>
        <v>0</v>
      </c>
      <c r="K36" s="35">
        <f>G36*AP36</f>
        <v>0</v>
      </c>
      <c r="L36" s="35">
        <f>G36*H36</f>
        <v>0</v>
      </c>
      <c r="M36" s="35">
        <f>L36*(1+BW36/100)</f>
        <v>0</v>
      </c>
      <c r="N36" s="35">
        <v>0</v>
      </c>
      <c r="O36" s="35">
        <f>G36*N36</f>
        <v>0</v>
      </c>
      <c r="P36" s="37" t="s">
        <v>64</v>
      </c>
      <c r="Z36" s="35">
        <f>IF(AQ36="5",BJ36,0)</f>
        <v>0</v>
      </c>
      <c r="AB36" s="35">
        <f>IF(AQ36="1",BH36,0)</f>
        <v>0</v>
      </c>
      <c r="AC36" s="35">
        <f>IF(AQ36="1",BI36,0)</f>
        <v>0</v>
      </c>
      <c r="AD36" s="35">
        <f>IF(AQ36="7",BH36,0)</f>
        <v>0</v>
      </c>
      <c r="AE36" s="35">
        <f>IF(AQ36="7",BI36,0)</f>
        <v>0</v>
      </c>
      <c r="AF36" s="35">
        <f>IF(AQ36="2",BH36,0)</f>
        <v>0</v>
      </c>
      <c r="AG36" s="35">
        <f>IF(AQ36="2",BI36,0)</f>
        <v>0</v>
      </c>
      <c r="AH36" s="35">
        <f>IF(AQ36="0",BJ36,0)</f>
        <v>0</v>
      </c>
      <c r="AI36" s="12" t="s">
        <v>55</v>
      </c>
      <c r="AJ36" s="35">
        <f>IF(AN36=0,L36,0)</f>
        <v>0</v>
      </c>
      <c r="AK36" s="35">
        <f>IF(AN36=12,L36,0)</f>
        <v>0</v>
      </c>
      <c r="AL36" s="35">
        <f>IF(AN36=21,L36,0)</f>
        <v>0</v>
      </c>
      <c r="AN36" s="35">
        <v>21</v>
      </c>
      <c r="AO36" s="35">
        <f>H36*0</f>
        <v>0</v>
      </c>
      <c r="AP36" s="35">
        <f>H36*(1-0)</f>
        <v>0</v>
      </c>
      <c r="AQ36" s="36" t="s">
        <v>59</v>
      </c>
      <c r="AV36" s="35">
        <f>AW36+AX36</f>
        <v>0</v>
      </c>
      <c r="AW36" s="35">
        <f>G36*AO36</f>
        <v>0</v>
      </c>
      <c r="AX36" s="35">
        <f>G36*AP36</f>
        <v>0</v>
      </c>
      <c r="AY36" s="36" t="s">
        <v>117</v>
      </c>
      <c r="AZ36" s="36" t="s">
        <v>66</v>
      </c>
      <c r="BA36" s="12" t="s">
        <v>67</v>
      </c>
      <c r="BC36" s="35">
        <f>AW36+AX36</f>
        <v>0</v>
      </c>
      <c r="BD36" s="35">
        <f>H36/(100-BE36)*100</f>
        <v>0</v>
      </c>
      <c r="BE36" s="35">
        <v>0</v>
      </c>
      <c r="BF36" s="35">
        <f>O36</f>
        <v>0</v>
      </c>
      <c r="BH36" s="35">
        <f>G36*AO36</f>
        <v>0</v>
      </c>
      <c r="BI36" s="35">
        <f>G36*AP36</f>
        <v>0</v>
      </c>
      <c r="BJ36" s="35">
        <f>G36*H36</f>
        <v>0</v>
      </c>
      <c r="BK36" s="35"/>
      <c r="BL36" s="35">
        <v>12</v>
      </c>
      <c r="BW36" s="35" t="str">
        <f>I36</f>
        <v>21</v>
      </c>
      <c r="BX36" s="4" t="s">
        <v>115</v>
      </c>
    </row>
    <row r="37" spans="1:76" x14ac:dyDescent="0.25">
      <c r="A37" s="38"/>
      <c r="D37" s="39" t="s">
        <v>118</v>
      </c>
      <c r="E37" s="39" t="s">
        <v>79</v>
      </c>
      <c r="G37" s="40">
        <v>8.3529999999999998</v>
      </c>
      <c r="P37" s="41"/>
    </row>
    <row r="38" spans="1:76" x14ac:dyDescent="0.25">
      <c r="A38" s="38"/>
      <c r="D38" s="39" t="s">
        <v>119</v>
      </c>
      <c r="E38" s="39" t="s">
        <v>81</v>
      </c>
      <c r="G38" s="40">
        <v>5.5</v>
      </c>
      <c r="P38" s="41"/>
    </row>
    <row r="39" spans="1:76" x14ac:dyDescent="0.25">
      <c r="A39" s="38"/>
      <c r="D39" s="39" t="s">
        <v>120</v>
      </c>
      <c r="E39" s="39" t="s">
        <v>121</v>
      </c>
      <c r="G39" s="40">
        <v>26.01</v>
      </c>
      <c r="P39" s="41"/>
    </row>
    <row r="40" spans="1:76" x14ac:dyDescent="0.25">
      <c r="A40" s="2" t="s">
        <v>122</v>
      </c>
      <c r="B40" s="3" t="s">
        <v>55</v>
      </c>
      <c r="C40" s="3" t="s">
        <v>114</v>
      </c>
      <c r="D40" s="106" t="s">
        <v>123</v>
      </c>
      <c r="E40" s="107"/>
      <c r="F40" s="3" t="s">
        <v>116</v>
      </c>
      <c r="G40" s="35">
        <v>49</v>
      </c>
      <c r="H40" s="35"/>
      <c r="I40" s="36" t="s">
        <v>63</v>
      </c>
      <c r="J40" s="35">
        <f>G40*AO40</f>
        <v>0</v>
      </c>
      <c r="K40" s="35">
        <f>G40*AP40</f>
        <v>0</v>
      </c>
      <c r="L40" s="35">
        <f>G40*H40</f>
        <v>0</v>
      </c>
      <c r="M40" s="35">
        <f>L40*(1+BW40/100)</f>
        <v>0</v>
      </c>
      <c r="N40" s="35">
        <v>0</v>
      </c>
      <c r="O40" s="35">
        <f>G40*N40</f>
        <v>0</v>
      </c>
      <c r="P40" s="37" t="s">
        <v>64</v>
      </c>
      <c r="Z40" s="35">
        <f>IF(AQ40="5",BJ40,0)</f>
        <v>0</v>
      </c>
      <c r="AB40" s="35">
        <f>IF(AQ40="1",BH40,0)</f>
        <v>0</v>
      </c>
      <c r="AC40" s="35">
        <f>IF(AQ40="1",BI40,0)</f>
        <v>0</v>
      </c>
      <c r="AD40" s="35">
        <f>IF(AQ40="7",BH40,0)</f>
        <v>0</v>
      </c>
      <c r="AE40" s="35">
        <f>IF(AQ40="7",BI40,0)</f>
        <v>0</v>
      </c>
      <c r="AF40" s="35">
        <f>IF(AQ40="2",BH40,0)</f>
        <v>0</v>
      </c>
      <c r="AG40" s="35">
        <f>IF(AQ40="2",BI40,0)</f>
        <v>0</v>
      </c>
      <c r="AH40" s="35">
        <f>IF(AQ40="0",BJ40,0)</f>
        <v>0</v>
      </c>
      <c r="AI40" s="12" t="s">
        <v>55</v>
      </c>
      <c r="AJ40" s="35">
        <f>IF(AN40=0,L40,0)</f>
        <v>0</v>
      </c>
      <c r="AK40" s="35">
        <f>IF(AN40=12,L40,0)</f>
        <v>0</v>
      </c>
      <c r="AL40" s="35">
        <f>IF(AN40=21,L40,0)</f>
        <v>0</v>
      </c>
      <c r="AN40" s="35">
        <v>21</v>
      </c>
      <c r="AO40" s="35">
        <f>H40*0</f>
        <v>0</v>
      </c>
      <c r="AP40" s="35">
        <f>H40*(1-0)</f>
        <v>0</v>
      </c>
      <c r="AQ40" s="36" t="s">
        <v>59</v>
      </c>
      <c r="AV40" s="35">
        <f>AW40+AX40</f>
        <v>0</v>
      </c>
      <c r="AW40" s="35">
        <f>G40*AO40</f>
        <v>0</v>
      </c>
      <c r="AX40" s="35">
        <f>G40*AP40</f>
        <v>0</v>
      </c>
      <c r="AY40" s="36" t="s">
        <v>117</v>
      </c>
      <c r="AZ40" s="36" t="s">
        <v>66</v>
      </c>
      <c r="BA40" s="12" t="s">
        <v>67</v>
      </c>
      <c r="BC40" s="35">
        <f>AW40+AX40</f>
        <v>0</v>
      </c>
      <c r="BD40" s="35">
        <f>H40/(100-BE40)*100</f>
        <v>0</v>
      </c>
      <c r="BE40" s="35">
        <v>0</v>
      </c>
      <c r="BF40" s="35">
        <f>O40</f>
        <v>0</v>
      </c>
      <c r="BH40" s="35">
        <f>G40*AO40</f>
        <v>0</v>
      </c>
      <c r="BI40" s="35">
        <f>G40*AP40</f>
        <v>0</v>
      </c>
      <c r="BJ40" s="35">
        <f>G40*H40</f>
        <v>0</v>
      </c>
      <c r="BK40" s="35"/>
      <c r="BL40" s="35">
        <v>12</v>
      </c>
      <c r="BW40" s="35" t="str">
        <f>I40</f>
        <v>21</v>
      </c>
      <c r="BX40" s="4" t="s">
        <v>123</v>
      </c>
    </row>
    <row r="41" spans="1:76" x14ac:dyDescent="0.25">
      <c r="A41" s="38"/>
      <c r="D41" s="39" t="s">
        <v>124</v>
      </c>
      <c r="E41" s="39" t="s">
        <v>125</v>
      </c>
      <c r="G41" s="40">
        <v>35</v>
      </c>
      <c r="P41" s="41"/>
    </row>
    <row r="42" spans="1:76" x14ac:dyDescent="0.25">
      <c r="A42" s="38"/>
      <c r="D42" s="39" t="s">
        <v>126</v>
      </c>
      <c r="E42" s="39" t="s">
        <v>54</v>
      </c>
      <c r="G42" s="40">
        <v>5.6</v>
      </c>
      <c r="P42" s="41"/>
    </row>
    <row r="43" spans="1:76" x14ac:dyDescent="0.25">
      <c r="A43" s="38"/>
      <c r="D43" s="39" t="s">
        <v>127</v>
      </c>
      <c r="E43" s="39" t="s">
        <v>128</v>
      </c>
      <c r="G43" s="40">
        <v>8.4</v>
      </c>
      <c r="P43" s="41"/>
    </row>
    <row r="44" spans="1:76" x14ac:dyDescent="0.25">
      <c r="A44" s="31" t="s">
        <v>54</v>
      </c>
      <c r="B44" s="32" t="s">
        <v>55</v>
      </c>
      <c r="C44" s="32" t="s">
        <v>92</v>
      </c>
      <c r="D44" s="164" t="s">
        <v>129</v>
      </c>
      <c r="E44" s="165"/>
      <c r="F44" s="33" t="s">
        <v>3</v>
      </c>
      <c r="G44" s="33" t="s">
        <v>3</v>
      </c>
      <c r="H44" s="33"/>
      <c r="I44" s="33" t="s">
        <v>3</v>
      </c>
      <c r="J44" s="1">
        <f>SUM(J45:J49)</f>
        <v>0</v>
      </c>
      <c r="K44" s="1">
        <f>SUM(K45:K49)</f>
        <v>0</v>
      </c>
      <c r="L44" s="1">
        <f>SUM(L45:L49)</f>
        <v>0</v>
      </c>
      <c r="M44" s="1">
        <f>SUM(M45:M49)</f>
        <v>0</v>
      </c>
      <c r="N44" s="12" t="s">
        <v>54</v>
      </c>
      <c r="O44" s="1">
        <f>SUM(O45:O49)</f>
        <v>0</v>
      </c>
      <c r="P44" s="34" t="s">
        <v>54</v>
      </c>
      <c r="AI44" s="12" t="s">
        <v>55</v>
      </c>
      <c r="AS44" s="1">
        <f>SUM(AJ45:AJ49)</f>
        <v>0</v>
      </c>
      <c r="AT44" s="1">
        <f>SUM(AK45:AK49)</f>
        <v>0</v>
      </c>
      <c r="AU44" s="1">
        <f>SUM(AL45:AL49)</f>
        <v>0</v>
      </c>
    </row>
    <row r="45" spans="1:76" x14ac:dyDescent="0.25">
      <c r="A45" s="2" t="s">
        <v>57</v>
      </c>
      <c r="B45" s="3" t="s">
        <v>55</v>
      </c>
      <c r="C45" s="3" t="s">
        <v>130</v>
      </c>
      <c r="D45" s="106" t="s">
        <v>131</v>
      </c>
      <c r="E45" s="107"/>
      <c r="F45" s="3" t="s">
        <v>116</v>
      </c>
      <c r="G45" s="35">
        <v>11.4</v>
      </c>
      <c r="H45" s="35"/>
      <c r="I45" s="36" t="s">
        <v>63</v>
      </c>
      <c r="J45" s="35">
        <f>G45*AO45</f>
        <v>0</v>
      </c>
      <c r="K45" s="35">
        <f>G45*AP45</f>
        <v>0</v>
      </c>
      <c r="L45" s="35">
        <f>G45*H45</f>
        <v>0</v>
      </c>
      <c r="M45" s="35">
        <f>L45*(1+BW45/100)</f>
        <v>0</v>
      </c>
      <c r="N45" s="35">
        <v>0</v>
      </c>
      <c r="O45" s="35">
        <f>G45*N45</f>
        <v>0</v>
      </c>
      <c r="P45" s="37" t="s">
        <v>64</v>
      </c>
      <c r="Z45" s="35">
        <f>IF(AQ45="5",BJ45,0)</f>
        <v>0</v>
      </c>
      <c r="AB45" s="35">
        <f>IF(AQ45="1",BH45,0)</f>
        <v>0</v>
      </c>
      <c r="AC45" s="35">
        <f>IF(AQ45="1",BI45,0)</f>
        <v>0</v>
      </c>
      <c r="AD45" s="35">
        <f>IF(AQ45="7",BH45,0)</f>
        <v>0</v>
      </c>
      <c r="AE45" s="35">
        <f>IF(AQ45="7",BI45,0)</f>
        <v>0</v>
      </c>
      <c r="AF45" s="35">
        <f>IF(AQ45="2",BH45,0)</f>
        <v>0</v>
      </c>
      <c r="AG45" s="35">
        <f>IF(AQ45="2",BI45,0)</f>
        <v>0</v>
      </c>
      <c r="AH45" s="35">
        <f>IF(AQ45="0",BJ45,0)</f>
        <v>0</v>
      </c>
      <c r="AI45" s="12" t="s">
        <v>55</v>
      </c>
      <c r="AJ45" s="35">
        <f>IF(AN45=0,L45,0)</f>
        <v>0</v>
      </c>
      <c r="AK45" s="35">
        <f>IF(AN45=12,L45,0)</f>
        <v>0</v>
      </c>
      <c r="AL45" s="35">
        <f>IF(AN45=21,L45,0)</f>
        <v>0</v>
      </c>
      <c r="AN45" s="35">
        <v>21</v>
      </c>
      <c r="AO45" s="35">
        <f>H45*0</f>
        <v>0</v>
      </c>
      <c r="AP45" s="35">
        <f>H45*(1-0)</f>
        <v>0</v>
      </c>
      <c r="AQ45" s="36" t="s">
        <v>59</v>
      </c>
      <c r="AV45" s="35">
        <f>AW45+AX45</f>
        <v>0</v>
      </c>
      <c r="AW45" s="35">
        <f>G45*AO45</f>
        <v>0</v>
      </c>
      <c r="AX45" s="35">
        <f>G45*AP45</f>
        <v>0</v>
      </c>
      <c r="AY45" s="36" t="s">
        <v>132</v>
      </c>
      <c r="AZ45" s="36" t="s">
        <v>66</v>
      </c>
      <c r="BA45" s="12" t="s">
        <v>67</v>
      </c>
      <c r="BC45" s="35">
        <f>AW45+AX45</f>
        <v>0</v>
      </c>
      <c r="BD45" s="35">
        <f>H45/(100-BE45)*100</f>
        <v>0</v>
      </c>
      <c r="BE45" s="35">
        <v>0</v>
      </c>
      <c r="BF45" s="35">
        <f>O45</f>
        <v>0</v>
      </c>
      <c r="BH45" s="35">
        <f>G45*AO45</f>
        <v>0</v>
      </c>
      <c r="BI45" s="35">
        <f>G45*AP45</f>
        <v>0</v>
      </c>
      <c r="BJ45" s="35">
        <f>G45*H45</f>
        <v>0</v>
      </c>
      <c r="BK45" s="35"/>
      <c r="BL45" s="35">
        <v>13</v>
      </c>
      <c r="BW45" s="35" t="str">
        <f>I45</f>
        <v>21</v>
      </c>
      <c r="BX45" s="4" t="s">
        <v>131</v>
      </c>
    </row>
    <row r="46" spans="1:76" x14ac:dyDescent="0.25">
      <c r="A46" s="38"/>
      <c r="D46" s="39" t="s">
        <v>133</v>
      </c>
      <c r="E46" s="39" t="s">
        <v>134</v>
      </c>
      <c r="G46" s="40">
        <v>1.5</v>
      </c>
      <c r="P46" s="41"/>
    </row>
    <row r="47" spans="1:76" x14ac:dyDescent="0.25">
      <c r="A47" s="38"/>
      <c r="D47" s="39" t="s">
        <v>135</v>
      </c>
      <c r="E47" s="39" t="s">
        <v>54</v>
      </c>
      <c r="G47" s="40">
        <v>1.8</v>
      </c>
      <c r="P47" s="41"/>
    </row>
    <row r="48" spans="1:76" x14ac:dyDescent="0.25">
      <c r="A48" s="38"/>
      <c r="D48" s="39" t="s">
        <v>136</v>
      </c>
      <c r="E48" s="39" t="s">
        <v>137</v>
      </c>
      <c r="G48" s="40">
        <v>8.1</v>
      </c>
      <c r="P48" s="41"/>
    </row>
    <row r="49" spans="1:76" x14ac:dyDescent="0.25">
      <c r="A49" s="2" t="s">
        <v>111</v>
      </c>
      <c r="B49" s="3" t="s">
        <v>55</v>
      </c>
      <c r="C49" s="3" t="s">
        <v>138</v>
      </c>
      <c r="D49" s="106" t="s">
        <v>139</v>
      </c>
      <c r="E49" s="107"/>
      <c r="F49" s="3" t="s">
        <v>116</v>
      </c>
      <c r="G49" s="35">
        <v>14.45</v>
      </c>
      <c r="H49" s="35"/>
      <c r="I49" s="36" t="s">
        <v>63</v>
      </c>
      <c r="J49" s="35">
        <f>G49*AO49</f>
        <v>0</v>
      </c>
      <c r="K49" s="35">
        <f>G49*AP49</f>
        <v>0</v>
      </c>
      <c r="L49" s="35">
        <f>G49*H49</f>
        <v>0</v>
      </c>
      <c r="M49" s="35">
        <f>L49*(1+BW49/100)</f>
        <v>0</v>
      </c>
      <c r="N49" s="35">
        <v>0</v>
      </c>
      <c r="O49" s="35">
        <f>G49*N49</f>
        <v>0</v>
      </c>
      <c r="P49" s="37" t="s">
        <v>64</v>
      </c>
      <c r="Z49" s="35">
        <f>IF(AQ49="5",BJ49,0)</f>
        <v>0</v>
      </c>
      <c r="AB49" s="35">
        <f>IF(AQ49="1",BH49,0)</f>
        <v>0</v>
      </c>
      <c r="AC49" s="35">
        <f>IF(AQ49="1",BI49,0)</f>
        <v>0</v>
      </c>
      <c r="AD49" s="35">
        <f>IF(AQ49="7",BH49,0)</f>
        <v>0</v>
      </c>
      <c r="AE49" s="35">
        <f>IF(AQ49="7",BI49,0)</f>
        <v>0</v>
      </c>
      <c r="AF49" s="35">
        <f>IF(AQ49="2",BH49,0)</f>
        <v>0</v>
      </c>
      <c r="AG49" s="35">
        <f>IF(AQ49="2",BI49,0)</f>
        <v>0</v>
      </c>
      <c r="AH49" s="35">
        <f>IF(AQ49="0",BJ49,0)</f>
        <v>0</v>
      </c>
      <c r="AI49" s="12" t="s">
        <v>55</v>
      </c>
      <c r="AJ49" s="35">
        <f>IF(AN49=0,L49,0)</f>
        <v>0</v>
      </c>
      <c r="AK49" s="35">
        <f>IF(AN49=12,L49,0)</f>
        <v>0</v>
      </c>
      <c r="AL49" s="35">
        <f>IF(AN49=21,L49,0)</f>
        <v>0</v>
      </c>
      <c r="AN49" s="35">
        <v>21</v>
      </c>
      <c r="AO49" s="35">
        <f>H49*0</f>
        <v>0</v>
      </c>
      <c r="AP49" s="35">
        <f>H49*(1-0)</f>
        <v>0</v>
      </c>
      <c r="AQ49" s="36" t="s">
        <v>59</v>
      </c>
      <c r="AV49" s="35">
        <f>AW49+AX49</f>
        <v>0</v>
      </c>
      <c r="AW49" s="35">
        <f>G49*AO49</f>
        <v>0</v>
      </c>
      <c r="AX49" s="35">
        <f>G49*AP49</f>
        <v>0</v>
      </c>
      <c r="AY49" s="36" t="s">
        <v>132</v>
      </c>
      <c r="AZ49" s="36" t="s">
        <v>66</v>
      </c>
      <c r="BA49" s="12" t="s">
        <v>67</v>
      </c>
      <c r="BC49" s="35">
        <f>AW49+AX49</f>
        <v>0</v>
      </c>
      <c r="BD49" s="35">
        <f>H49/(100-BE49)*100</f>
        <v>0</v>
      </c>
      <c r="BE49" s="35">
        <v>0</v>
      </c>
      <c r="BF49" s="35">
        <f>O49</f>
        <v>0</v>
      </c>
      <c r="BH49" s="35">
        <f>G49*AO49</f>
        <v>0</v>
      </c>
      <c r="BI49" s="35">
        <f>G49*AP49</f>
        <v>0</v>
      </c>
      <c r="BJ49" s="35">
        <f>G49*H49</f>
        <v>0</v>
      </c>
      <c r="BK49" s="35"/>
      <c r="BL49" s="35">
        <v>13</v>
      </c>
      <c r="BW49" s="35" t="str">
        <f>I49</f>
        <v>21</v>
      </c>
      <c r="BX49" s="4" t="s">
        <v>139</v>
      </c>
    </row>
    <row r="50" spans="1:76" x14ac:dyDescent="0.25">
      <c r="A50" s="38"/>
      <c r="D50" s="39" t="s">
        <v>140</v>
      </c>
      <c r="E50" s="39" t="s">
        <v>141</v>
      </c>
      <c r="G50" s="40">
        <v>14.45</v>
      </c>
      <c r="P50" s="41"/>
    </row>
    <row r="51" spans="1:76" x14ac:dyDescent="0.25">
      <c r="A51" s="31" t="s">
        <v>54</v>
      </c>
      <c r="B51" s="32" t="s">
        <v>55</v>
      </c>
      <c r="C51" s="32" t="s">
        <v>142</v>
      </c>
      <c r="D51" s="164" t="s">
        <v>143</v>
      </c>
      <c r="E51" s="165"/>
      <c r="F51" s="33" t="s">
        <v>3</v>
      </c>
      <c r="G51" s="33" t="s">
        <v>3</v>
      </c>
      <c r="H51" s="33"/>
      <c r="I51" s="33" t="s">
        <v>3</v>
      </c>
      <c r="J51" s="1">
        <f>SUM(J52:J52)</f>
        <v>0</v>
      </c>
      <c r="K51" s="1">
        <f>SUM(K52:K52)</f>
        <v>0</v>
      </c>
      <c r="L51" s="1">
        <f>SUM(L52:L52)</f>
        <v>0</v>
      </c>
      <c r="M51" s="1">
        <f>SUM(M52:M52)</f>
        <v>0</v>
      </c>
      <c r="N51" s="12" t="s">
        <v>54</v>
      </c>
      <c r="O51" s="1">
        <f>SUM(O52:O52)</f>
        <v>0</v>
      </c>
      <c r="P51" s="34" t="s">
        <v>54</v>
      </c>
      <c r="AI51" s="12" t="s">
        <v>55</v>
      </c>
      <c r="AS51" s="1">
        <f>SUM(AJ52:AJ52)</f>
        <v>0</v>
      </c>
      <c r="AT51" s="1">
        <f>SUM(AK52:AK52)</f>
        <v>0</v>
      </c>
      <c r="AU51" s="1">
        <f>SUM(AL52:AL52)</f>
        <v>0</v>
      </c>
    </row>
    <row r="52" spans="1:76" x14ac:dyDescent="0.25">
      <c r="A52" s="2" t="s">
        <v>92</v>
      </c>
      <c r="B52" s="3" t="s">
        <v>55</v>
      </c>
      <c r="C52" s="3" t="s">
        <v>144</v>
      </c>
      <c r="D52" s="106" t="s">
        <v>145</v>
      </c>
      <c r="E52" s="107"/>
      <c r="F52" s="3" t="s">
        <v>72</v>
      </c>
      <c r="G52" s="35">
        <v>5.9279999999999999</v>
      </c>
      <c r="H52" s="35"/>
      <c r="I52" s="36" t="s">
        <v>63</v>
      </c>
      <c r="J52" s="35">
        <f>G52*AO52</f>
        <v>0</v>
      </c>
      <c r="K52" s="35">
        <f>G52*AP52</f>
        <v>0</v>
      </c>
      <c r="L52" s="35">
        <f>G52*H52</f>
        <v>0</v>
      </c>
      <c r="M52" s="35">
        <f>L52*(1+BW52/100)</f>
        <v>0</v>
      </c>
      <c r="N52" s="35">
        <v>0</v>
      </c>
      <c r="O52" s="35">
        <f>G52*N52</f>
        <v>0</v>
      </c>
      <c r="P52" s="37" t="s">
        <v>64</v>
      </c>
      <c r="Z52" s="35">
        <f>IF(AQ52="5",BJ52,0)</f>
        <v>0</v>
      </c>
      <c r="AB52" s="35">
        <f>IF(AQ52="1",BH52,0)</f>
        <v>0</v>
      </c>
      <c r="AC52" s="35">
        <f>IF(AQ52="1",BI52,0)</f>
        <v>0</v>
      </c>
      <c r="AD52" s="35">
        <f>IF(AQ52="7",BH52,0)</f>
        <v>0</v>
      </c>
      <c r="AE52" s="35">
        <f>IF(AQ52="7",BI52,0)</f>
        <v>0</v>
      </c>
      <c r="AF52" s="35">
        <f>IF(AQ52="2",BH52,0)</f>
        <v>0</v>
      </c>
      <c r="AG52" s="35">
        <f>IF(AQ52="2",BI52,0)</f>
        <v>0</v>
      </c>
      <c r="AH52" s="35">
        <f>IF(AQ52="0",BJ52,0)</f>
        <v>0</v>
      </c>
      <c r="AI52" s="12" t="s">
        <v>55</v>
      </c>
      <c r="AJ52" s="35">
        <f>IF(AN52=0,L52,0)</f>
        <v>0</v>
      </c>
      <c r="AK52" s="35">
        <f>IF(AN52=12,L52,0)</f>
        <v>0</v>
      </c>
      <c r="AL52" s="35">
        <f>IF(AN52=21,L52,0)</f>
        <v>0</v>
      </c>
      <c r="AN52" s="35">
        <v>21</v>
      </c>
      <c r="AO52" s="35">
        <f>H52*0</f>
        <v>0</v>
      </c>
      <c r="AP52" s="35">
        <f>H52*(1-0)</f>
        <v>0</v>
      </c>
      <c r="AQ52" s="36" t="s">
        <v>59</v>
      </c>
      <c r="AV52" s="35">
        <f>AW52+AX52</f>
        <v>0</v>
      </c>
      <c r="AW52" s="35">
        <f>G52*AO52</f>
        <v>0</v>
      </c>
      <c r="AX52" s="35">
        <f>G52*AP52</f>
        <v>0</v>
      </c>
      <c r="AY52" s="36" t="s">
        <v>146</v>
      </c>
      <c r="AZ52" s="36" t="s">
        <v>147</v>
      </c>
      <c r="BA52" s="12" t="s">
        <v>67</v>
      </c>
      <c r="BC52" s="35">
        <f>AW52+AX52</f>
        <v>0</v>
      </c>
      <c r="BD52" s="35">
        <f>H52/(100-BE52)*100</f>
        <v>0</v>
      </c>
      <c r="BE52" s="35">
        <v>0</v>
      </c>
      <c r="BF52" s="35">
        <f>O52</f>
        <v>0</v>
      </c>
      <c r="BH52" s="35">
        <f>G52*AO52</f>
        <v>0</v>
      </c>
      <c r="BI52" s="35">
        <f>G52*AP52</f>
        <v>0</v>
      </c>
      <c r="BJ52" s="35">
        <f>G52*H52</f>
        <v>0</v>
      </c>
      <c r="BK52" s="35"/>
      <c r="BL52" s="35">
        <v>62</v>
      </c>
      <c r="BW52" s="35" t="str">
        <f>I52</f>
        <v>21</v>
      </c>
      <c r="BX52" s="4" t="s">
        <v>145</v>
      </c>
    </row>
    <row r="53" spans="1:76" x14ac:dyDescent="0.25">
      <c r="A53" s="38"/>
      <c r="D53" s="39" t="s">
        <v>148</v>
      </c>
      <c r="E53" s="39" t="s">
        <v>149</v>
      </c>
      <c r="G53" s="40">
        <v>2.16</v>
      </c>
      <c r="P53" s="41"/>
    </row>
    <row r="54" spans="1:76" x14ac:dyDescent="0.25">
      <c r="A54" s="38"/>
      <c r="D54" s="39" t="s">
        <v>150</v>
      </c>
      <c r="E54" s="39" t="s">
        <v>151</v>
      </c>
      <c r="G54" s="40">
        <v>3.1680000000000001</v>
      </c>
      <c r="P54" s="41"/>
    </row>
    <row r="55" spans="1:76" x14ac:dyDescent="0.25">
      <c r="A55" s="38"/>
      <c r="D55" s="39" t="s">
        <v>152</v>
      </c>
      <c r="E55" s="39" t="s">
        <v>153</v>
      </c>
      <c r="G55" s="40">
        <v>0.6</v>
      </c>
      <c r="P55" s="41"/>
    </row>
    <row r="56" spans="1:76" x14ac:dyDescent="0.25">
      <c r="A56" s="31" t="s">
        <v>54</v>
      </c>
      <c r="B56" s="32" t="s">
        <v>55</v>
      </c>
      <c r="C56" s="32" t="s">
        <v>154</v>
      </c>
      <c r="D56" s="164" t="s">
        <v>155</v>
      </c>
      <c r="E56" s="165"/>
      <c r="F56" s="33" t="s">
        <v>3</v>
      </c>
      <c r="G56" s="33" t="s">
        <v>3</v>
      </c>
      <c r="H56" s="33"/>
      <c r="I56" s="33" t="s">
        <v>3</v>
      </c>
      <c r="J56" s="1">
        <f>SUM(J57:J57)</f>
        <v>0</v>
      </c>
      <c r="K56" s="1">
        <f>SUM(K57:K57)</f>
        <v>0</v>
      </c>
      <c r="L56" s="1">
        <f>SUM(L57:L57)</f>
        <v>0</v>
      </c>
      <c r="M56" s="1">
        <f>SUM(M57:M57)</f>
        <v>0</v>
      </c>
      <c r="N56" s="12" t="s">
        <v>54</v>
      </c>
      <c r="O56" s="1">
        <f>SUM(O57:O57)</f>
        <v>0</v>
      </c>
      <c r="P56" s="34" t="s">
        <v>54</v>
      </c>
      <c r="AI56" s="12" t="s">
        <v>55</v>
      </c>
      <c r="AS56" s="1">
        <f>SUM(AJ57:AJ57)</f>
        <v>0</v>
      </c>
      <c r="AT56" s="1">
        <f>SUM(AK57:AK57)</f>
        <v>0</v>
      </c>
      <c r="AU56" s="1">
        <f>SUM(AL57:AL57)</f>
        <v>0</v>
      </c>
    </row>
    <row r="57" spans="1:76" x14ac:dyDescent="0.25">
      <c r="A57" s="2" t="s">
        <v>156</v>
      </c>
      <c r="B57" s="3" t="s">
        <v>55</v>
      </c>
      <c r="C57" s="3" t="s">
        <v>157</v>
      </c>
      <c r="D57" s="106" t="s">
        <v>158</v>
      </c>
      <c r="E57" s="107"/>
      <c r="F57" s="3" t="s">
        <v>62</v>
      </c>
      <c r="G57" s="35">
        <v>8</v>
      </c>
      <c r="H57" s="35"/>
      <c r="I57" s="36" t="s">
        <v>63</v>
      </c>
      <c r="J57" s="35">
        <f>G57*AO57</f>
        <v>0</v>
      </c>
      <c r="K57" s="35">
        <f>G57*AP57</f>
        <v>0</v>
      </c>
      <c r="L57" s="35">
        <f>G57*H57</f>
        <v>0</v>
      </c>
      <c r="M57" s="35">
        <f>L57*(1+BW57/100)</f>
        <v>0</v>
      </c>
      <c r="N57" s="35">
        <v>0</v>
      </c>
      <c r="O57" s="35">
        <f>G57*N57</f>
        <v>0</v>
      </c>
      <c r="P57" s="37" t="s">
        <v>64</v>
      </c>
      <c r="Z57" s="35">
        <f>IF(AQ57="5",BJ57,0)</f>
        <v>0</v>
      </c>
      <c r="AB57" s="35">
        <f>IF(AQ57="1",BH57,0)</f>
        <v>0</v>
      </c>
      <c r="AC57" s="35">
        <f>IF(AQ57="1",BI57,0)</f>
        <v>0</v>
      </c>
      <c r="AD57" s="35">
        <f>IF(AQ57="7",BH57,0)</f>
        <v>0</v>
      </c>
      <c r="AE57" s="35">
        <f>IF(AQ57="7",BI57,0)</f>
        <v>0</v>
      </c>
      <c r="AF57" s="35">
        <f>IF(AQ57="2",BH57,0)</f>
        <v>0</v>
      </c>
      <c r="AG57" s="35">
        <f>IF(AQ57="2",BI57,0)</f>
        <v>0</v>
      </c>
      <c r="AH57" s="35">
        <f>IF(AQ57="0",BJ57,0)</f>
        <v>0</v>
      </c>
      <c r="AI57" s="12" t="s">
        <v>55</v>
      </c>
      <c r="AJ57" s="35">
        <f>IF(AN57=0,L57,0)</f>
        <v>0</v>
      </c>
      <c r="AK57" s="35">
        <f>IF(AN57=12,L57,0)</f>
        <v>0</v>
      </c>
      <c r="AL57" s="35">
        <f>IF(AN57=21,L57,0)</f>
        <v>0</v>
      </c>
      <c r="AN57" s="35">
        <v>21</v>
      </c>
      <c r="AO57" s="35">
        <f>H57*0.556102708</f>
        <v>0</v>
      </c>
      <c r="AP57" s="35">
        <f>H57*(1-0.556102708)</f>
        <v>0</v>
      </c>
      <c r="AQ57" s="36" t="s">
        <v>59</v>
      </c>
      <c r="AV57" s="35">
        <f>AW57+AX57</f>
        <v>0</v>
      </c>
      <c r="AW57" s="35">
        <f>G57*AO57</f>
        <v>0</v>
      </c>
      <c r="AX57" s="35">
        <f>G57*AP57</f>
        <v>0</v>
      </c>
      <c r="AY57" s="36" t="s">
        <v>159</v>
      </c>
      <c r="AZ57" s="36" t="s">
        <v>160</v>
      </c>
      <c r="BA57" s="12" t="s">
        <v>67</v>
      </c>
      <c r="BC57" s="35">
        <f>AW57+AX57</f>
        <v>0</v>
      </c>
      <c r="BD57" s="35">
        <f>H57/(100-BE57)*100</f>
        <v>0</v>
      </c>
      <c r="BE57" s="35">
        <v>0</v>
      </c>
      <c r="BF57" s="35">
        <f>O57</f>
        <v>0</v>
      </c>
      <c r="BH57" s="35">
        <f>G57*AO57</f>
        <v>0</v>
      </c>
      <c r="BI57" s="35">
        <f>G57*AP57</f>
        <v>0</v>
      </c>
      <c r="BJ57" s="35">
        <f>G57*H57</f>
        <v>0</v>
      </c>
      <c r="BK57" s="35"/>
      <c r="BL57" s="35">
        <v>91</v>
      </c>
      <c r="BW57" s="35" t="str">
        <f>I57</f>
        <v>21</v>
      </c>
      <c r="BX57" s="4" t="s">
        <v>158</v>
      </c>
    </row>
    <row r="58" spans="1:76" x14ac:dyDescent="0.25">
      <c r="A58" s="38"/>
      <c r="D58" s="39" t="s">
        <v>107</v>
      </c>
      <c r="E58" s="39" t="s">
        <v>54</v>
      </c>
      <c r="G58" s="40">
        <v>8</v>
      </c>
      <c r="P58" s="41"/>
    </row>
    <row r="59" spans="1:76" x14ac:dyDescent="0.25">
      <c r="A59" s="31" t="s">
        <v>54</v>
      </c>
      <c r="B59" s="32" t="s">
        <v>55</v>
      </c>
      <c r="C59" s="32" t="s">
        <v>161</v>
      </c>
      <c r="D59" s="164" t="s">
        <v>162</v>
      </c>
      <c r="E59" s="165"/>
      <c r="F59" s="33" t="s">
        <v>3</v>
      </c>
      <c r="G59" s="33" t="s">
        <v>3</v>
      </c>
      <c r="H59" s="33"/>
      <c r="I59" s="33" t="s">
        <v>3</v>
      </c>
      <c r="J59" s="1">
        <f>SUM(J60:J78)</f>
        <v>0</v>
      </c>
      <c r="K59" s="1">
        <f>SUM(K60:K78)</f>
        <v>0</v>
      </c>
      <c r="L59" s="1">
        <f>SUM(L60:L78)</f>
        <v>0</v>
      </c>
      <c r="M59" s="1">
        <f>SUM(M60:M78)</f>
        <v>0</v>
      </c>
      <c r="N59" s="12" t="s">
        <v>54</v>
      </c>
      <c r="O59" s="1">
        <f>SUM(O60:O78)</f>
        <v>131.25416000000001</v>
      </c>
      <c r="P59" s="34" t="s">
        <v>54</v>
      </c>
      <c r="AI59" s="12" t="s">
        <v>55</v>
      </c>
      <c r="AS59" s="1">
        <f>SUM(AJ60:AJ78)</f>
        <v>0</v>
      </c>
      <c r="AT59" s="1">
        <f>SUM(AK60:AK78)</f>
        <v>0</v>
      </c>
      <c r="AU59" s="1">
        <f>SUM(AL60:AL78)</f>
        <v>0</v>
      </c>
    </row>
    <row r="60" spans="1:76" x14ac:dyDescent="0.25">
      <c r="A60" s="2" t="s">
        <v>163</v>
      </c>
      <c r="B60" s="3" t="s">
        <v>55</v>
      </c>
      <c r="C60" s="3" t="s">
        <v>164</v>
      </c>
      <c r="D60" s="106" t="s">
        <v>165</v>
      </c>
      <c r="E60" s="107"/>
      <c r="F60" s="3" t="s">
        <v>116</v>
      </c>
      <c r="G60" s="35">
        <v>6.3449999999999998</v>
      </c>
      <c r="H60" s="35"/>
      <c r="I60" s="36" t="s">
        <v>63</v>
      </c>
      <c r="J60" s="35">
        <f>G60*AO60</f>
        <v>0</v>
      </c>
      <c r="K60" s="35">
        <f>G60*AP60</f>
        <v>0</v>
      </c>
      <c r="L60" s="35">
        <f>G60*H60</f>
        <v>0</v>
      </c>
      <c r="M60" s="35">
        <f>L60*(1+BW60/100)</f>
        <v>0</v>
      </c>
      <c r="N60" s="35">
        <v>2</v>
      </c>
      <c r="O60" s="35">
        <f>G60*N60</f>
        <v>12.69</v>
      </c>
      <c r="P60" s="37" t="s">
        <v>64</v>
      </c>
      <c r="Z60" s="35">
        <f>IF(AQ60="5",BJ60,0)</f>
        <v>0</v>
      </c>
      <c r="AB60" s="35">
        <f>IF(AQ60="1",BH60,0)</f>
        <v>0</v>
      </c>
      <c r="AC60" s="35">
        <f>IF(AQ60="1",BI60,0)</f>
        <v>0</v>
      </c>
      <c r="AD60" s="35">
        <f>IF(AQ60="7",BH60,0)</f>
        <v>0</v>
      </c>
      <c r="AE60" s="35">
        <f>IF(AQ60="7",BI60,0)</f>
        <v>0</v>
      </c>
      <c r="AF60" s="35">
        <f>IF(AQ60="2",BH60,0)</f>
        <v>0</v>
      </c>
      <c r="AG60" s="35">
        <f>IF(AQ60="2",BI60,0)</f>
        <v>0</v>
      </c>
      <c r="AH60" s="35">
        <f>IF(AQ60="0",BJ60,0)</f>
        <v>0</v>
      </c>
      <c r="AI60" s="12" t="s">
        <v>55</v>
      </c>
      <c r="AJ60" s="35">
        <f>IF(AN60=0,L60,0)</f>
        <v>0</v>
      </c>
      <c r="AK60" s="35">
        <f>IF(AN60=12,L60,0)</f>
        <v>0</v>
      </c>
      <c r="AL60" s="35">
        <f>IF(AN60=21,L60,0)</f>
        <v>0</v>
      </c>
      <c r="AN60" s="35">
        <v>21</v>
      </c>
      <c r="AO60" s="35">
        <f>H60*0</f>
        <v>0</v>
      </c>
      <c r="AP60" s="35">
        <f>H60*(1-0)</f>
        <v>0</v>
      </c>
      <c r="AQ60" s="36" t="s">
        <v>59</v>
      </c>
      <c r="AV60" s="35">
        <f>AW60+AX60</f>
        <v>0</v>
      </c>
      <c r="AW60" s="35">
        <f>G60*AO60</f>
        <v>0</v>
      </c>
      <c r="AX60" s="35">
        <f>G60*AP60</f>
        <v>0</v>
      </c>
      <c r="AY60" s="36" t="s">
        <v>166</v>
      </c>
      <c r="AZ60" s="36" t="s">
        <v>160</v>
      </c>
      <c r="BA60" s="12" t="s">
        <v>67</v>
      </c>
      <c r="BC60" s="35">
        <f>AW60+AX60</f>
        <v>0</v>
      </c>
      <c r="BD60" s="35">
        <f>H60/(100-BE60)*100</f>
        <v>0</v>
      </c>
      <c r="BE60" s="35">
        <v>0</v>
      </c>
      <c r="BF60" s="35">
        <f>O60</f>
        <v>12.69</v>
      </c>
      <c r="BH60" s="35">
        <f>G60*AO60</f>
        <v>0</v>
      </c>
      <c r="BI60" s="35">
        <f>G60*AP60</f>
        <v>0</v>
      </c>
      <c r="BJ60" s="35">
        <f>G60*H60</f>
        <v>0</v>
      </c>
      <c r="BK60" s="35"/>
      <c r="BL60" s="35">
        <v>96</v>
      </c>
      <c r="BW60" s="35" t="str">
        <f>I60</f>
        <v>21</v>
      </c>
      <c r="BX60" s="4" t="s">
        <v>165</v>
      </c>
    </row>
    <row r="61" spans="1:76" x14ac:dyDescent="0.25">
      <c r="A61" s="38"/>
      <c r="D61" s="39" t="s">
        <v>167</v>
      </c>
      <c r="E61" s="39" t="s">
        <v>54</v>
      </c>
      <c r="G61" s="40">
        <v>0</v>
      </c>
      <c r="P61" s="41"/>
    </row>
    <row r="62" spans="1:76" x14ac:dyDescent="0.25">
      <c r="A62" s="38"/>
      <c r="D62" s="39" t="s">
        <v>168</v>
      </c>
      <c r="E62" s="39" t="s">
        <v>54</v>
      </c>
      <c r="G62" s="40">
        <v>2.7</v>
      </c>
      <c r="P62" s="41"/>
    </row>
    <row r="63" spans="1:76" x14ac:dyDescent="0.25">
      <c r="A63" s="38"/>
      <c r="D63" s="39" t="s">
        <v>169</v>
      </c>
      <c r="E63" s="39" t="s">
        <v>54</v>
      </c>
      <c r="G63" s="40">
        <v>1.0529999999999999</v>
      </c>
      <c r="P63" s="41"/>
    </row>
    <row r="64" spans="1:76" x14ac:dyDescent="0.25">
      <c r="A64" s="38"/>
      <c r="D64" s="39" t="s">
        <v>170</v>
      </c>
      <c r="E64" s="39" t="s">
        <v>54</v>
      </c>
      <c r="G64" s="40">
        <v>0</v>
      </c>
      <c r="P64" s="41"/>
    </row>
    <row r="65" spans="1:76" x14ac:dyDescent="0.25">
      <c r="A65" s="38"/>
      <c r="D65" s="39" t="s">
        <v>171</v>
      </c>
      <c r="E65" s="39" t="s">
        <v>54</v>
      </c>
      <c r="G65" s="40">
        <v>2.5920000000000001</v>
      </c>
      <c r="P65" s="41"/>
    </row>
    <row r="66" spans="1:76" x14ac:dyDescent="0.25">
      <c r="A66" s="2" t="s">
        <v>172</v>
      </c>
      <c r="B66" s="3" t="s">
        <v>55</v>
      </c>
      <c r="C66" s="3" t="s">
        <v>173</v>
      </c>
      <c r="D66" s="106" t="s">
        <v>174</v>
      </c>
      <c r="E66" s="107"/>
      <c r="F66" s="3" t="s">
        <v>116</v>
      </c>
      <c r="G66" s="35">
        <v>52.02</v>
      </c>
      <c r="H66" s="35"/>
      <c r="I66" s="36" t="s">
        <v>63</v>
      </c>
      <c r="J66" s="35">
        <f>G66*AO66</f>
        <v>0</v>
      </c>
      <c r="K66" s="35">
        <f>G66*AP66</f>
        <v>0</v>
      </c>
      <c r="L66" s="35">
        <f>G66*H66</f>
        <v>0</v>
      </c>
      <c r="M66" s="35">
        <f>L66*(1+BW66/100)</f>
        <v>0</v>
      </c>
      <c r="N66" s="35">
        <v>2.2000000000000002</v>
      </c>
      <c r="O66" s="35">
        <f>G66*N66</f>
        <v>114.44400000000002</v>
      </c>
      <c r="P66" s="37" t="s">
        <v>64</v>
      </c>
      <c r="Z66" s="35">
        <f>IF(AQ66="5",BJ66,0)</f>
        <v>0</v>
      </c>
      <c r="AB66" s="35">
        <f>IF(AQ66="1",BH66,0)</f>
        <v>0</v>
      </c>
      <c r="AC66" s="35">
        <f>IF(AQ66="1",BI66,0)</f>
        <v>0</v>
      </c>
      <c r="AD66" s="35">
        <f>IF(AQ66="7",BH66,0)</f>
        <v>0</v>
      </c>
      <c r="AE66" s="35">
        <f>IF(AQ66="7",BI66,0)</f>
        <v>0</v>
      </c>
      <c r="AF66" s="35">
        <f>IF(AQ66="2",BH66,0)</f>
        <v>0</v>
      </c>
      <c r="AG66" s="35">
        <f>IF(AQ66="2",BI66,0)</f>
        <v>0</v>
      </c>
      <c r="AH66" s="35">
        <f>IF(AQ66="0",BJ66,0)</f>
        <v>0</v>
      </c>
      <c r="AI66" s="12" t="s">
        <v>55</v>
      </c>
      <c r="AJ66" s="35">
        <f>IF(AN66=0,L66,0)</f>
        <v>0</v>
      </c>
      <c r="AK66" s="35">
        <f>IF(AN66=12,L66,0)</f>
        <v>0</v>
      </c>
      <c r="AL66" s="35">
        <f>IF(AN66=21,L66,0)</f>
        <v>0</v>
      </c>
      <c r="AN66" s="35">
        <v>21</v>
      </c>
      <c r="AO66" s="35">
        <f>H66*0</f>
        <v>0</v>
      </c>
      <c r="AP66" s="35">
        <f>H66*(1-0)</f>
        <v>0</v>
      </c>
      <c r="AQ66" s="36" t="s">
        <v>59</v>
      </c>
      <c r="AV66" s="35">
        <f>AW66+AX66</f>
        <v>0</v>
      </c>
      <c r="AW66" s="35">
        <f>G66*AO66</f>
        <v>0</v>
      </c>
      <c r="AX66" s="35">
        <f>G66*AP66</f>
        <v>0</v>
      </c>
      <c r="AY66" s="36" t="s">
        <v>166</v>
      </c>
      <c r="AZ66" s="36" t="s">
        <v>160</v>
      </c>
      <c r="BA66" s="12" t="s">
        <v>67</v>
      </c>
      <c r="BC66" s="35">
        <f>AW66+AX66</f>
        <v>0</v>
      </c>
      <c r="BD66" s="35">
        <f>H66/(100-BE66)*100</f>
        <v>0</v>
      </c>
      <c r="BE66" s="35">
        <v>0</v>
      </c>
      <c r="BF66" s="35">
        <f>O66</f>
        <v>114.44400000000002</v>
      </c>
      <c r="BH66" s="35">
        <f>G66*AO66</f>
        <v>0</v>
      </c>
      <c r="BI66" s="35">
        <f>G66*AP66</f>
        <v>0</v>
      </c>
      <c r="BJ66" s="35">
        <f>G66*H66</f>
        <v>0</v>
      </c>
      <c r="BK66" s="35"/>
      <c r="BL66" s="35">
        <v>96</v>
      </c>
      <c r="BW66" s="35" t="str">
        <f>I66</f>
        <v>21</v>
      </c>
      <c r="BX66" s="4" t="s">
        <v>174</v>
      </c>
    </row>
    <row r="67" spans="1:76" x14ac:dyDescent="0.25">
      <c r="A67" s="38"/>
      <c r="D67" s="39" t="s">
        <v>175</v>
      </c>
      <c r="E67" s="39" t="s">
        <v>54</v>
      </c>
      <c r="G67" s="40">
        <v>0</v>
      </c>
      <c r="P67" s="41"/>
    </row>
    <row r="68" spans="1:76" x14ac:dyDescent="0.25">
      <c r="A68" s="38"/>
      <c r="D68" s="39" t="s">
        <v>170</v>
      </c>
      <c r="E68" s="39" t="s">
        <v>54</v>
      </c>
      <c r="G68" s="40">
        <v>0</v>
      </c>
      <c r="P68" s="41"/>
    </row>
    <row r="69" spans="1:76" x14ac:dyDescent="0.25">
      <c r="A69" s="38"/>
      <c r="D69" s="39" t="s">
        <v>176</v>
      </c>
      <c r="E69" s="39" t="s">
        <v>54</v>
      </c>
      <c r="G69" s="40">
        <v>52.02</v>
      </c>
      <c r="P69" s="41"/>
    </row>
    <row r="70" spans="1:76" x14ac:dyDescent="0.25">
      <c r="A70" s="38"/>
      <c r="D70" s="39" t="s">
        <v>177</v>
      </c>
      <c r="E70" s="39" t="s">
        <v>54</v>
      </c>
      <c r="G70" s="40">
        <v>0</v>
      </c>
      <c r="P70" s="41"/>
    </row>
    <row r="71" spans="1:76" x14ac:dyDescent="0.25">
      <c r="A71" s="38"/>
      <c r="D71" s="39" t="s">
        <v>178</v>
      </c>
      <c r="E71" s="39" t="s">
        <v>54</v>
      </c>
      <c r="G71" s="40">
        <v>0</v>
      </c>
      <c r="P71" s="41"/>
    </row>
    <row r="72" spans="1:76" x14ac:dyDescent="0.25">
      <c r="A72" s="2" t="s">
        <v>179</v>
      </c>
      <c r="B72" s="3" t="s">
        <v>55</v>
      </c>
      <c r="C72" s="3" t="s">
        <v>180</v>
      </c>
      <c r="D72" s="106" t="s">
        <v>181</v>
      </c>
      <c r="E72" s="107"/>
      <c r="F72" s="3" t="s">
        <v>116</v>
      </c>
      <c r="G72" s="35">
        <v>53.692799999999998</v>
      </c>
      <c r="H72" s="35"/>
      <c r="I72" s="36" t="s">
        <v>63</v>
      </c>
      <c r="J72" s="35">
        <f>G72*AO72</f>
        <v>0</v>
      </c>
      <c r="K72" s="35">
        <f>G72*AP72</f>
        <v>0</v>
      </c>
      <c r="L72" s="35">
        <f>G72*H72</f>
        <v>0</v>
      </c>
      <c r="M72" s="35">
        <f>L72*(1+BW72/100)</f>
        <v>0</v>
      </c>
      <c r="N72" s="35">
        <v>0</v>
      </c>
      <c r="O72" s="35">
        <f>G72*N72</f>
        <v>0</v>
      </c>
      <c r="P72" s="37" t="s">
        <v>64</v>
      </c>
      <c r="Z72" s="35">
        <f>IF(AQ72="5",BJ72,0)</f>
        <v>0</v>
      </c>
      <c r="AB72" s="35">
        <f>IF(AQ72="1",BH72,0)</f>
        <v>0</v>
      </c>
      <c r="AC72" s="35">
        <f>IF(AQ72="1",BI72,0)</f>
        <v>0</v>
      </c>
      <c r="AD72" s="35">
        <f>IF(AQ72="7",BH72,0)</f>
        <v>0</v>
      </c>
      <c r="AE72" s="35">
        <f>IF(AQ72="7",BI72,0)</f>
        <v>0</v>
      </c>
      <c r="AF72" s="35">
        <f>IF(AQ72="2",BH72,0)</f>
        <v>0</v>
      </c>
      <c r="AG72" s="35">
        <f>IF(AQ72="2",BI72,0)</f>
        <v>0</v>
      </c>
      <c r="AH72" s="35">
        <f>IF(AQ72="0",BJ72,0)</f>
        <v>0</v>
      </c>
      <c r="AI72" s="12" t="s">
        <v>55</v>
      </c>
      <c r="AJ72" s="35">
        <f>IF(AN72=0,L72,0)</f>
        <v>0</v>
      </c>
      <c r="AK72" s="35">
        <f>IF(AN72=12,L72,0)</f>
        <v>0</v>
      </c>
      <c r="AL72" s="35">
        <f>IF(AN72=21,L72,0)</f>
        <v>0</v>
      </c>
      <c r="AN72" s="35">
        <v>21</v>
      </c>
      <c r="AO72" s="35">
        <f>H72*0</f>
        <v>0</v>
      </c>
      <c r="AP72" s="35">
        <f>H72*(1-0)</f>
        <v>0</v>
      </c>
      <c r="AQ72" s="36" t="s">
        <v>59</v>
      </c>
      <c r="AV72" s="35">
        <f>AW72+AX72</f>
        <v>0</v>
      </c>
      <c r="AW72" s="35">
        <f>G72*AO72</f>
        <v>0</v>
      </c>
      <c r="AX72" s="35">
        <f>G72*AP72</f>
        <v>0</v>
      </c>
      <c r="AY72" s="36" t="s">
        <v>166</v>
      </c>
      <c r="AZ72" s="36" t="s">
        <v>160</v>
      </c>
      <c r="BA72" s="12" t="s">
        <v>67</v>
      </c>
      <c r="BC72" s="35">
        <f>AW72+AX72</f>
        <v>0</v>
      </c>
      <c r="BD72" s="35">
        <f>H72/(100-BE72)*100</f>
        <v>0</v>
      </c>
      <c r="BE72" s="35">
        <v>0</v>
      </c>
      <c r="BF72" s="35">
        <f>O72</f>
        <v>0</v>
      </c>
      <c r="BH72" s="35">
        <f>G72*AO72</f>
        <v>0</v>
      </c>
      <c r="BI72" s="35">
        <f>G72*AP72</f>
        <v>0</v>
      </c>
      <c r="BJ72" s="35">
        <f>G72*H72</f>
        <v>0</v>
      </c>
      <c r="BK72" s="35"/>
      <c r="BL72" s="35">
        <v>96</v>
      </c>
      <c r="BW72" s="35" t="str">
        <f>I72</f>
        <v>21</v>
      </c>
      <c r="BX72" s="4" t="s">
        <v>181</v>
      </c>
    </row>
    <row r="73" spans="1:76" x14ac:dyDescent="0.25">
      <c r="A73" s="2" t="s">
        <v>182</v>
      </c>
      <c r="B73" s="3" t="s">
        <v>55</v>
      </c>
      <c r="C73" s="3" t="s">
        <v>183</v>
      </c>
      <c r="D73" s="106" t="s">
        <v>174</v>
      </c>
      <c r="E73" s="107"/>
      <c r="F73" s="3" t="s">
        <v>116</v>
      </c>
      <c r="G73" s="35">
        <v>1.6728000000000001</v>
      </c>
      <c r="H73" s="35"/>
      <c r="I73" s="36" t="s">
        <v>63</v>
      </c>
      <c r="J73" s="35">
        <f>G73*AO73</f>
        <v>0</v>
      </c>
      <c r="K73" s="35">
        <f>G73*AP73</f>
        <v>0</v>
      </c>
      <c r="L73" s="35">
        <f>G73*H73</f>
        <v>0</v>
      </c>
      <c r="M73" s="35">
        <f>L73*(1+BW73/100)</f>
        <v>0</v>
      </c>
      <c r="N73" s="35">
        <v>2.2000000000000002</v>
      </c>
      <c r="O73" s="35">
        <f>G73*N73</f>
        <v>3.6801600000000003</v>
      </c>
      <c r="P73" s="37" t="s">
        <v>64</v>
      </c>
      <c r="Z73" s="35">
        <f>IF(AQ73="5",BJ73,0)</f>
        <v>0</v>
      </c>
      <c r="AB73" s="35">
        <f>IF(AQ73="1",BH73,0)</f>
        <v>0</v>
      </c>
      <c r="AC73" s="35">
        <f>IF(AQ73="1",BI73,0)</f>
        <v>0</v>
      </c>
      <c r="AD73" s="35">
        <f>IF(AQ73="7",BH73,0)</f>
        <v>0</v>
      </c>
      <c r="AE73" s="35">
        <f>IF(AQ73="7",BI73,0)</f>
        <v>0</v>
      </c>
      <c r="AF73" s="35">
        <f>IF(AQ73="2",BH73,0)</f>
        <v>0</v>
      </c>
      <c r="AG73" s="35">
        <f>IF(AQ73="2",BI73,0)</f>
        <v>0</v>
      </c>
      <c r="AH73" s="35">
        <f>IF(AQ73="0",BJ73,0)</f>
        <v>0</v>
      </c>
      <c r="AI73" s="12" t="s">
        <v>55</v>
      </c>
      <c r="AJ73" s="35">
        <f>IF(AN73=0,L73,0)</f>
        <v>0</v>
      </c>
      <c r="AK73" s="35">
        <f>IF(AN73=12,L73,0)</f>
        <v>0</v>
      </c>
      <c r="AL73" s="35">
        <f>IF(AN73=21,L73,0)</f>
        <v>0</v>
      </c>
      <c r="AN73" s="35">
        <v>21</v>
      </c>
      <c r="AO73" s="35">
        <f>H73*0</f>
        <v>0</v>
      </c>
      <c r="AP73" s="35">
        <f>H73*(1-0)</f>
        <v>0</v>
      </c>
      <c r="AQ73" s="36" t="s">
        <v>59</v>
      </c>
      <c r="AV73" s="35">
        <f>AW73+AX73</f>
        <v>0</v>
      </c>
      <c r="AW73" s="35">
        <f>G73*AO73</f>
        <v>0</v>
      </c>
      <c r="AX73" s="35">
        <f>G73*AP73</f>
        <v>0</v>
      </c>
      <c r="AY73" s="36" t="s">
        <v>166</v>
      </c>
      <c r="AZ73" s="36" t="s">
        <v>160</v>
      </c>
      <c r="BA73" s="12" t="s">
        <v>67</v>
      </c>
      <c r="BC73" s="35">
        <f>AW73+AX73</f>
        <v>0</v>
      </c>
      <c r="BD73" s="35">
        <f>H73/(100-BE73)*100</f>
        <v>0</v>
      </c>
      <c r="BE73" s="35">
        <v>0</v>
      </c>
      <c r="BF73" s="35">
        <f>O73</f>
        <v>3.6801600000000003</v>
      </c>
      <c r="BH73" s="35">
        <f>G73*AO73</f>
        <v>0</v>
      </c>
      <c r="BI73" s="35">
        <f>G73*AP73</f>
        <v>0</v>
      </c>
      <c r="BJ73" s="35">
        <f>G73*H73</f>
        <v>0</v>
      </c>
      <c r="BK73" s="35"/>
      <c r="BL73" s="35">
        <v>96</v>
      </c>
      <c r="BW73" s="35" t="str">
        <f>I73</f>
        <v>21</v>
      </c>
      <c r="BX73" s="4" t="s">
        <v>174</v>
      </c>
    </row>
    <row r="74" spans="1:76" x14ac:dyDescent="0.25">
      <c r="A74" s="38"/>
      <c r="D74" s="39" t="s">
        <v>184</v>
      </c>
      <c r="E74" s="39" t="s">
        <v>54</v>
      </c>
      <c r="G74" s="40">
        <v>0</v>
      </c>
      <c r="P74" s="41"/>
    </row>
    <row r="75" spans="1:76" x14ac:dyDescent="0.25">
      <c r="A75" s="38"/>
      <c r="D75" s="39" t="s">
        <v>185</v>
      </c>
      <c r="E75" s="39" t="s">
        <v>54</v>
      </c>
      <c r="G75" s="40">
        <v>1.6728000000000001</v>
      </c>
      <c r="P75" s="41"/>
    </row>
    <row r="76" spans="1:76" x14ac:dyDescent="0.25">
      <c r="A76" s="2" t="s">
        <v>186</v>
      </c>
      <c r="B76" s="3" t="s">
        <v>55</v>
      </c>
      <c r="C76" s="3" t="s">
        <v>187</v>
      </c>
      <c r="D76" s="106" t="s">
        <v>188</v>
      </c>
      <c r="E76" s="107"/>
      <c r="F76" s="3" t="s">
        <v>116</v>
      </c>
      <c r="G76" s="35">
        <v>0.2</v>
      </c>
      <c r="H76" s="35"/>
      <c r="I76" s="36" t="s">
        <v>63</v>
      </c>
      <c r="J76" s="35">
        <f>G76*AO76</f>
        <v>0</v>
      </c>
      <c r="K76" s="35">
        <f>G76*AP76</f>
        <v>0</v>
      </c>
      <c r="L76" s="35">
        <f>G76*H76</f>
        <v>0</v>
      </c>
      <c r="M76" s="35">
        <f>L76*(1+BW76/100)</f>
        <v>0</v>
      </c>
      <c r="N76" s="35">
        <v>2.2000000000000002</v>
      </c>
      <c r="O76" s="35">
        <f>G76*N76</f>
        <v>0.44000000000000006</v>
      </c>
      <c r="P76" s="37" t="s">
        <v>64</v>
      </c>
      <c r="Z76" s="35">
        <f>IF(AQ76="5",BJ76,0)</f>
        <v>0</v>
      </c>
      <c r="AB76" s="35">
        <f>IF(AQ76="1",BH76,0)</f>
        <v>0</v>
      </c>
      <c r="AC76" s="35">
        <f>IF(AQ76="1",BI76,0)</f>
        <v>0</v>
      </c>
      <c r="AD76" s="35">
        <f>IF(AQ76="7",BH76,0)</f>
        <v>0</v>
      </c>
      <c r="AE76" s="35">
        <f>IF(AQ76="7",BI76,0)</f>
        <v>0</v>
      </c>
      <c r="AF76" s="35">
        <f>IF(AQ76="2",BH76,0)</f>
        <v>0</v>
      </c>
      <c r="AG76" s="35">
        <f>IF(AQ76="2",BI76,0)</f>
        <v>0</v>
      </c>
      <c r="AH76" s="35">
        <f>IF(AQ76="0",BJ76,0)</f>
        <v>0</v>
      </c>
      <c r="AI76" s="12" t="s">
        <v>55</v>
      </c>
      <c r="AJ76" s="35">
        <f>IF(AN76=0,L76,0)</f>
        <v>0</v>
      </c>
      <c r="AK76" s="35">
        <f>IF(AN76=12,L76,0)</f>
        <v>0</v>
      </c>
      <c r="AL76" s="35">
        <f>IF(AN76=21,L76,0)</f>
        <v>0</v>
      </c>
      <c r="AN76" s="35">
        <v>21</v>
      </c>
      <c r="AO76" s="35">
        <f>H76*0</f>
        <v>0</v>
      </c>
      <c r="AP76" s="35">
        <f>H76*(1-0)</f>
        <v>0</v>
      </c>
      <c r="AQ76" s="36" t="s">
        <v>59</v>
      </c>
      <c r="AV76" s="35">
        <f>AW76+AX76</f>
        <v>0</v>
      </c>
      <c r="AW76" s="35">
        <f>G76*AO76</f>
        <v>0</v>
      </c>
      <c r="AX76" s="35">
        <f>G76*AP76</f>
        <v>0</v>
      </c>
      <c r="AY76" s="36" t="s">
        <v>166</v>
      </c>
      <c r="AZ76" s="36" t="s">
        <v>160</v>
      </c>
      <c r="BA76" s="12" t="s">
        <v>67</v>
      </c>
      <c r="BC76" s="35">
        <f>AW76+AX76</f>
        <v>0</v>
      </c>
      <c r="BD76" s="35">
        <f>H76/(100-BE76)*100</f>
        <v>0</v>
      </c>
      <c r="BE76" s="35">
        <v>0</v>
      </c>
      <c r="BF76" s="35">
        <f>O76</f>
        <v>0.44000000000000006</v>
      </c>
      <c r="BH76" s="35">
        <f>G76*AO76</f>
        <v>0</v>
      </c>
      <c r="BI76" s="35">
        <f>G76*AP76</f>
        <v>0</v>
      </c>
      <c r="BJ76" s="35">
        <f>G76*H76</f>
        <v>0</v>
      </c>
      <c r="BK76" s="35"/>
      <c r="BL76" s="35">
        <v>96</v>
      </c>
      <c r="BW76" s="35" t="str">
        <f>I76</f>
        <v>21</v>
      </c>
      <c r="BX76" s="4" t="s">
        <v>188</v>
      </c>
    </row>
    <row r="77" spans="1:76" x14ac:dyDescent="0.25">
      <c r="A77" s="38"/>
      <c r="D77" s="39" t="s">
        <v>189</v>
      </c>
      <c r="E77" s="39" t="s">
        <v>54</v>
      </c>
      <c r="G77" s="40">
        <v>0.2</v>
      </c>
      <c r="P77" s="41"/>
    </row>
    <row r="78" spans="1:76" ht="25.5" x14ac:dyDescent="0.25">
      <c r="A78" s="2" t="s">
        <v>190</v>
      </c>
      <c r="B78" s="3" t="s">
        <v>55</v>
      </c>
      <c r="C78" s="3" t="s">
        <v>180</v>
      </c>
      <c r="D78" s="106" t="s">
        <v>191</v>
      </c>
      <c r="E78" s="107"/>
      <c r="F78" s="3" t="s">
        <v>116</v>
      </c>
      <c r="G78" s="35">
        <v>0.2</v>
      </c>
      <c r="H78" s="35"/>
      <c r="I78" s="36" t="s">
        <v>63</v>
      </c>
      <c r="J78" s="35">
        <f>G78*AO78</f>
        <v>0</v>
      </c>
      <c r="K78" s="35">
        <f>G78*AP78</f>
        <v>0</v>
      </c>
      <c r="L78" s="35">
        <f>G78*H78</f>
        <v>0</v>
      </c>
      <c r="M78" s="35">
        <f>L78*(1+BW78/100)</f>
        <v>0</v>
      </c>
      <c r="N78" s="35">
        <v>0</v>
      </c>
      <c r="O78" s="35">
        <f>G78*N78</f>
        <v>0</v>
      </c>
      <c r="P78" s="37" t="s">
        <v>64</v>
      </c>
      <c r="Z78" s="35">
        <f>IF(AQ78="5",BJ78,0)</f>
        <v>0</v>
      </c>
      <c r="AB78" s="35">
        <f>IF(AQ78="1",BH78,0)</f>
        <v>0</v>
      </c>
      <c r="AC78" s="35">
        <f>IF(AQ78="1",BI78,0)</f>
        <v>0</v>
      </c>
      <c r="AD78" s="35">
        <f>IF(AQ78="7",BH78,0)</f>
        <v>0</v>
      </c>
      <c r="AE78" s="35">
        <f>IF(AQ78="7",BI78,0)</f>
        <v>0</v>
      </c>
      <c r="AF78" s="35">
        <f>IF(AQ78="2",BH78,0)</f>
        <v>0</v>
      </c>
      <c r="AG78" s="35">
        <f>IF(AQ78="2",BI78,0)</f>
        <v>0</v>
      </c>
      <c r="AH78" s="35">
        <f>IF(AQ78="0",BJ78,0)</f>
        <v>0</v>
      </c>
      <c r="AI78" s="12" t="s">
        <v>55</v>
      </c>
      <c r="AJ78" s="35">
        <f>IF(AN78=0,L78,0)</f>
        <v>0</v>
      </c>
      <c r="AK78" s="35">
        <f>IF(AN78=12,L78,0)</f>
        <v>0</v>
      </c>
      <c r="AL78" s="35">
        <f>IF(AN78=21,L78,0)</f>
        <v>0</v>
      </c>
      <c r="AN78" s="35">
        <v>21</v>
      </c>
      <c r="AO78" s="35">
        <f>H78*0</f>
        <v>0</v>
      </c>
      <c r="AP78" s="35">
        <f>H78*(1-0)</f>
        <v>0</v>
      </c>
      <c r="AQ78" s="36" t="s">
        <v>59</v>
      </c>
      <c r="AV78" s="35">
        <f>AW78+AX78</f>
        <v>0</v>
      </c>
      <c r="AW78" s="35">
        <f>G78*AO78</f>
        <v>0</v>
      </c>
      <c r="AX78" s="35">
        <f>G78*AP78</f>
        <v>0</v>
      </c>
      <c r="AY78" s="36" t="s">
        <v>166</v>
      </c>
      <c r="AZ78" s="36" t="s">
        <v>160</v>
      </c>
      <c r="BA78" s="12" t="s">
        <v>67</v>
      </c>
      <c r="BC78" s="35">
        <f>AW78+AX78</f>
        <v>0</v>
      </c>
      <c r="BD78" s="35">
        <f>H78/(100-BE78)*100</f>
        <v>0</v>
      </c>
      <c r="BE78" s="35">
        <v>0</v>
      </c>
      <c r="BF78" s="35">
        <f>O78</f>
        <v>0</v>
      </c>
      <c r="BH78" s="35">
        <f>G78*AO78</f>
        <v>0</v>
      </c>
      <c r="BI78" s="35">
        <f>G78*AP78</f>
        <v>0</v>
      </c>
      <c r="BJ78" s="35">
        <f>G78*H78</f>
        <v>0</v>
      </c>
      <c r="BK78" s="35"/>
      <c r="BL78" s="35">
        <v>96</v>
      </c>
      <c r="BW78" s="35" t="str">
        <f>I78</f>
        <v>21</v>
      </c>
      <c r="BX78" s="4" t="s">
        <v>191</v>
      </c>
    </row>
    <row r="79" spans="1:76" x14ac:dyDescent="0.25">
      <c r="A79" s="31" t="s">
        <v>54</v>
      </c>
      <c r="B79" s="32" t="s">
        <v>55</v>
      </c>
      <c r="C79" s="32" t="s">
        <v>192</v>
      </c>
      <c r="D79" s="164" t="s">
        <v>193</v>
      </c>
      <c r="E79" s="165"/>
      <c r="F79" s="33" t="s">
        <v>3</v>
      </c>
      <c r="G79" s="33" t="s">
        <v>3</v>
      </c>
      <c r="H79" s="33"/>
      <c r="I79" s="33" t="s">
        <v>3</v>
      </c>
      <c r="J79" s="1">
        <f>SUM(J80:J83)</f>
        <v>0</v>
      </c>
      <c r="K79" s="1">
        <f>SUM(K80:K83)</f>
        <v>0</v>
      </c>
      <c r="L79" s="1">
        <f>SUM(L80:L83)</f>
        <v>0</v>
      </c>
      <c r="M79" s="1">
        <f>SUM(M80:M83)</f>
        <v>0</v>
      </c>
      <c r="N79" s="12" t="s">
        <v>54</v>
      </c>
      <c r="O79" s="1">
        <f>SUM(O80:O83)</f>
        <v>0</v>
      </c>
      <c r="P79" s="34" t="s">
        <v>54</v>
      </c>
      <c r="AI79" s="12" t="s">
        <v>55</v>
      </c>
      <c r="AS79" s="1">
        <f>SUM(AJ80:AJ83)</f>
        <v>0</v>
      </c>
      <c r="AT79" s="1">
        <f>SUM(AK80:AK83)</f>
        <v>0</v>
      </c>
      <c r="AU79" s="1">
        <f>SUM(AL80:AL83)</f>
        <v>0</v>
      </c>
    </row>
    <row r="80" spans="1:76" x14ac:dyDescent="0.25">
      <c r="A80" s="2" t="s">
        <v>63</v>
      </c>
      <c r="B80" s="3" t="s">
        <v>55</v>
      </c>
      <c r="C80" s="3" t="s">
        <v>194</v>
      </c>
      <c r="D80" s="106" t="s">
        <v>195</v>
      </c>
      <c r="E80" s="107"/>
      <c r="F80" s="3" t="s">
        <v>72</v>
      </c>
      <c r="G80" s="35">
        <v>170</v>
      </c>
      <c r="H80" s="35"/>
      <c r="I80" s="36" t="s">
        <v>63</v>
      </c>
      <c r="J80" s="35">
        <f>G80*AO80</f>
        <v>0</v>
      </c>
      <c r="K80" s="35">
        <f>G80*AP80</f>
        <v>0</v>
      </c>
      <c r="L80" s="35">
        <f>G80*H80</f>
        <v>0</v>
      </c>
      <c r="M80" s="35">
        <f>L80*(1+BW80/100)</f>
        <v>0</v>
      </c>
      <c r="N80" s="35">
        <v>0</v>
      </c>
      <c r="O80" s="35">
        <f>G80*N80</f>
        <v>0</v>
      </c>
      <c r="P80" s="37" t="s">
        <v>64</v>
      </c>
      <c r="Z80" s="35">
        <f>IF(AQ80="5",BJ80,0)</f>
        <v>0</v>
      </c>
      <c r="AB80" s="35">
        <f>IF(AQ80="1",BH80,0)</f>
        <v>0</v>
      </c>
      <c r="AC80" s="35">
        <f>IF(AQ80="1",BI80,0)</f>
        <v>0</v>
      </c>
      <c r="AD80" s="35">
        <f>IF(AQ80="7",BH80,0)</f>
        <v>0</v>
      </c>
      <c r="AE80" s="35">
        <f>IF(AQ80="7",BI80,0)</f>
        <v>0</v>
      </c>
      <c r="AF80" s="35">
        <f>IF(AQ80="2",BH80,0)</f>
        <v>0</v>
      </c>
      <c r="AG80" s="35">
        <f>IF(AQ80="2",BI80,0)</f>
        <v>0</v>
      </c>
      <c r="AH80" s="35">
        <f>IF(AQ80="0",BJ80,0)</f>
        <v>0</v>
      </c>
      <c r="AI80" s="12" t="s">
        <v>55</v>
      </c>
      <c r="AJ80" s="35">
        <f>IF(AN80=0,L80,0)</f>
        <v>0</v>
      </c>
      <c r="AK80" s="35">
        <f>IF(AN80=12,L80,0)</f>
        <v>0</v>
      </c>
      <c r="AL80" s="35">
        <f>IF(AN80=21,L80,0)</f>
        <v>0</v>
      </c>
      <c r="AN80" s="35">
        <v>21</v>
      </c>
      <c r="AO80" s="35">
        <f>H80*0</f>
        <v>0</v>
      </c>
      <c r="AP80" s="35">
        <f>H80*(1-0)</f>
        <v>0</v>
      </c>
      <c r="AQ80" s="36" t="s">
        <v>69</v>
      </c>
      <c r="AV80" s="35">
        <f>AW80+AX80</f>
        <v>0</v>
      </c>
      <c r="AW80" s="35">
        <f>G80*AO80</f>
        <v>0</v>
      </c>
      <c r="AX80" s="35">
        <f>G80*AP80</f>
        <v>0</v>
      </c>
      <c r="AY80" s="36" t="s">
        <v>196</v>
      </c>
      <c r="AZ80" s="36" t="s">
        <v>160</v>
      </c>
      <c r="BA80" s="12" t="s">
        <v>67</v>
      </c>
      <c r="BC80" s="35">
        <f>AW80+AX80</f>
        <v>0</v>
      </c>
      <c r="BD80" s="35">
        <f>H80/(100-BE80)*100</f>
        <v>0</v>
      </c>
      <c r="BE80" s="35">
        <v>0</v>
      </c>
      <c r="BF80" s="35">
        <f>O80</f>
        <v>0</v>
      </c>
      <c r="BH80" s="35">
        <f>G80*AO80</f>
        <v>0</v>
      </c>
      <c r="BI80" s="35">
        <f>G80*AP80</f>
        <v>0</v>
      </c>
      <c r="BJ80" s="35">
        <f>G80*H80</f>
        <v>0</v>
      </c>
      <c r="BK80" s="35"/>
      <c r="BL80" s="35"/>
      <c r="BW80" s="35" t="str">
        <f>I80</f>
        <v>21</v>
      </c>
      <c r="BX80" s="4" t="s">
        <v>195</v>
      </c>
    </row>
    <row r="81" spans="1:76" x14ac:dyDescent="0.25">
      <c r="A81" s="38"/>
      <c r="D81" s="39" t="s">
        <v>197</v>
      </c>
      <c r="E81" s="39" t="s">
        <v>79</v>
      </c>
      <c r="G81" s="40">
        <v>146</v>
      </c>
      <c r="P81" s="41"/>
    </row>
    <row r="82" spans="1:76" x14ac:dyDescent="0.25">
      <c r="A82" s="38"/>
      <c r="D82" s="39" t="s">
        <v>198</v>
      </c>
      <c r="E82" s="39" t="s">
        <v>199</v>
      </c>
      <c r="G82" s="40">
        <v>24</v>
      </c>
      <c r="P82" s="41"/>
    </row>
    <row r="83" spans="1:76" x14ac:dyDescent="0.25">
      <c r="A83" s="2" t="s">
        <v>200</v>
      </c>
      <c r="B83" s="3" t="s">
        <v>55</v>
      </c>
      <c r="C83" s="3" t="s">
        <v>201</v>
      </c>
      <c r="D83" s="106" t="s">
        <v>202</v>
      </c>
      <c r="E83" s="107"/>
      <c r="F83" s="3" t="s">
        <v>116</v>
      </c>
      <c r="G83" s="35">
        <v>25.5</v>
      </c>
      <c r="H83" s="35"/>
      <c r="I83" s="36" t="s">
        <v>63</v>
      </c>
      <c r="J83" s="35">
        <f>G83*AO83</f>
        <v>0</v>
      </c>
      <c r="K83" s="35">
        <f>G83*AP83</f>
        <v>0</v>
      </c>
      <c r="L83" s="35">
        <f>G83*H83</f>
        <v>0</v>
      </c>
      <c r="M83" s="35">
        <f>L83*(1+BW83/100)</f>
        <v>0</v>
      </c>
      <c r="N83" s="35">
        <v>0</v>
      </c>
      <c r="O83" s="35">
        <f>G83*N83</f>
        <v>0</v>
      </c>
      <c r="P83" s="37" t="s">
        <v>64</v>
      </c>
      <c r="Z83" s="35">
        <f>IF(AQ83="5",BJ83,0)</f>
        <v>0</v>
      </c>
      <c r="AB83" s="35">
        <f>IF(AQ83="1",BH83,0)</f>
        <v>0</v>
      </c>
      <c r="AC83" s="35">
        <f>IF(AQ83="1",BI83,0)</f>
        <v>0</v>
      </c>
      <c r="AD83" s="35">
        <f>IF(AQ83="7",BH83,0)</f>
        <v>0</v>
      </c>
      <c r="AE83" s="35">
        <f>IF(AQ83="7",BI83,0)</f>
        <v>0</v>
      </c>
      <c r="AF83" s="35">
        <f>IF(AQ83="2",BH83,0)</f>
        <v>0</v>
      </c>
      <c r="AG83" s="35">
        <f>IF(AQ83="2",BI83,0)</f>
        <v>0</v>
      </c>
      <c r="AH83" s="35">
        <f>IF(AQ83="0",BJ83,0)</f>
        <v>0</v>
      </c>
      <c r="AI83" s="12" t="s">
        <v>55</v>
      </c>
      <c r="AJ83" s="35">
        <f>IF(AN83=0,L83,0)</f>
        <v>0</v>
      </c>
      <c r="AK83" s="35">
        <f>IF(AN83=12,L83,0)</f>
        <v>0</v>
      </c>
      <c r="AL83" s="35">
        <f>IF(AN83=21,L83,0)</f>
        <v>0</v>
      </c>
      <c r="AN83" s="35">
        <v>21</v>
      </c>
      <c r="AO83" s="35">
        <f>H83*0</f>
        <v>0</v>
      </c>
      <c r="AP83" s="35">
        <f>H83*(1-0)</f>
        <v>0</v>
      </c>
      <c r="AQ83" s="36" t="s">
        <v>69</v>
      </c>
      <c r="AV83" s="35">
        <f>AW83+AX83</f>
        <v>0</v>
      </c>
      <c r="AW83" s="35">
        <f>G83*AO83</f>
        <v>0</v>
      </c>
      <c r="AX83" s="35">
        <f>G83*AP83</f>
        <v>0</v>
      </c>
      <c r="AY83" s="36" t="s">
        <v>196</v>
      </c>
      <c r="AZ83" s="36" t="s">
        <v>160</v>
      </c>
      <c r="BA83" s="12" t="s">
        <v>67</v>
      </c>
      <c r="BC83" s="35">
        <f>AW83+AX83</f>
        <v>0</v>
      </c>
      <c r="BD83" s="35">
        <f>H83/(100-BE83)*100</f>
        <v>0</v>
      </c>
      <c r="BE83" s="35">
        <v>0</v>
      </c>
      <c r="BF83" s="35">
        <f>O83</f>
        <v>0</v>
      </c>
      <c r="BH83" s="35">
        <f>G83*AO83</f>
        <v>0</v>
      </c>
      <c r="BI83" s="35">
        <f>G83*AP83</f>
        <v>0</v>
      </c>
      <c r="BJ83" s="35">
        <f>G83*H83</f>
        <v>0</v>
      </c>
      <c r="BK83" s="35"/>
      <c r="BL83" s="35"/>
      <c r="BW83" s="35" t="str">
        <f>I83</f>
        <v>21</v>
      </c>
      <c r="BX83" s="4" t="s">
        <v>202</v>
      </c>
    </row>
    <row r="84" spans="1:76" x14ac:dyDescent="0.25">
      <c r="A84" s="38"/>
      <c r="D84" s="39" t="s">
        <v>203</v>
      </c>
      <c r="E84" s="39" t="s">
        <v>79</v>
      </c>
      <c r="G84" s="40">
        <v>21.9</v>
      </c>
      <c r="P84" s="41"/>
    </row>
    <row r="85" spans="1:76" x14ac:dyDescent="0.25">
      <c r="A85" s="38"/>
      <c r="D85" s="39" t="s">
        <v>204</v>
      </c>
      <c r="E85" s="39" t="s">
        <v>199</v>
      </c>
      <c r="G85" s="40">
        <v>3.6</v>
      </c>
      <c r="P85" s="41"/>
    </row>
    <row r="86" spans="1:76" x14ac:dyDescent="0.25">
      <c r="A86" s="31" t="s">
        <v>54</v>
      </c>
      <c r="B86" s="32" t="s">
        <v>55</v>
      </c>
      <c r="C86" s="32" t="s">
        <v>205</v>
      </c>
      <c r="D86" s="164" t="s">
        <v>206</v>
      </c>
      <c r="E86" s="165"/>
      <c r="F86" s="33" t="s">
        <v>3</v>
      </c>
      <c r="G86" s="33" t="s">
        <v>3</v>
      </c>
      <c r="H86" s="33"/>
      <c r="I86" s="33" t="s">
        <v>3</v>
      </c>
      <c r="J86" s="1">
        <f>SUM(J87:J98)</f>
        <v>0</v>
      </c>
      <c r="K86" s="1">
        <f>SUM(K87:K98)</f>
        <v>0</v>
      </c>
      <c r="L86" s="1">
        <f>SUM(L87:L98)</f>
        <v>0</v>
      </c>
      <c r="M86" s="1">
        <f>SUM(M87:M98)</f>
        <v>0</v>
      </c>
      <c r="N86" s="12" t="s">
        <v>54</v>
      </c>
      <c r="O86" s="1">
        <f>SUM(O87:O98)</f>
        <v>0</v>
      </c>
      <c r="P86" s="34" t="s">
        <v>54</v>
      </c>
      <c r="AI86" s="12" t="s">
        <v>55</v>
      </c>
      <c r="AS86" s="1">
        <f>SUM(AJ87:AJ98)</f>
        <v>0</v>
      </c>
      <c r="AT86" s="1">
        <f>SUM(AK87:AK98)</f>
        <v>0</v>
      </c>
      <c r="AU86" s="1">
        <f>SUM(AL87:AL98)</f>
        <v>0</v>
      </c>
    </row>
    <row r="87" spans="1:76" x14ac:dyDescent="0.25">
      <c r="A87" s="2" t="s">
        <v>207</v>
      </c>
      <c r="B87" s="3" t="s">
        <v>55</v>
      </c>
      <c r="C87" s="3" t="s">
        <v>208</v>
      </c>
      <c r="D87" s="106" t="s">
        <v>209</v>
      </c>
      <c r="E87" s="107"/>
      <c r="F87" s="3" t="s">
        <v>210</v>
      </c>
      <c r="G87" s="35">
        <v>629.48800000000006</v>
      </c>
      <c r="H87" s="35"/>
      <c r="I87" s="36" t="s">
        <v>63</v>
      </c>
      <c r="J87" s="35">
        <f>G87*AO87</f>
        <v>0</v>
      </c>
      <c r="K87" s="35">
        <f>G87*AP87</f>
        <v>0</v>
      </c>
      <c r="L87" s="35">
        <f>G87*H87</f>
        <v>0</v>
      </c>
      <c r="M87" s="35">
        <f>L87*(1+BW87/100)</f>
        <v>0</v>
      </c>
      <c r="N87" s="35">
        <v>0</v>
      </c>
      <c r="O87" s="35">
        <f>G87*N87</f>
        <v>0</v>
      </c>
      <c r="P87" s="37" t="s">
        <v>64</v>
      </c>
      <c r="Z87" s="35">
        <f>IF(AQ87="5",BJ87,0)</f>
        <v>0</v>
      </c>
      <c r="AB87" s="35">
        <f>IF(AQ87="1",BH87,0)</f>
        <v>0</v>
      </c>
      <c r="AC87" s="35">
        <f>IF(AQ87="1",BI87,0)</f>
        <v>0</v>
      </c>
      <c r="AD87" s="35">
        <f>IF(AQ87="7",BH87,0)</f>
        <v>0</v>
      </c>
      <c r="AE87" s="35">
        <f>IF(AQ87="7",BI87,0)</f>
        <v>0</v>
      </c>
      <c r="AF87" s="35">
        <f>IF(AQ87="2",BH87,0)</f>
        <v>0</v>
      </c>
      <c r="AG87" s="35">
        <f>IF(AQ87="2",BI87,0)</f>
        <v>0</v>
      </c>
      <c r="AH87" s="35">
        <f>IF(AQ87="0",BJ87,0)</f>
        <v>0</v>
      </c>
      <c r="AI87" s="12" t="s">
        <v>55</v>
      </c>
      <c r="AJ87" s="35">
        <f>IF(AN87=0,L87,0)</f>
        <v>0</v>
      </c>
      <c r="AK87" s="35">
        <f>IF(AN87=12,L87,0)</f>
        <v>0</v>
      </c>
      <c r="AL87" s="35">
        <f>IF(AN87=21,L87,0)</f>
        <v>0</v>
      </c>
      <c r="AN87" s="35">
        <v>21</v>
      </c>
      <c r="AO87" s="35">
        <f>H87*0</f>
        <v>0</v>
      </c>
      <c r="AP87" s="35">
        <f>H87*(1-0)</f>
        <v>0</v>
      </c>
      <c r="AQ87" s="36" t="s">
        <v>88</v>
      </c>
      <c r="AV87" s="35">
        <f>AW87+AX87</f>
        <v>0</v>
      </c>
      <c r="AW87" s="35">
        <f>G87*AO87</f>
        <v>0</v>
      </c>
      <c r="AX87" s="35">
        <f>G87*AP87</f>
        <v>0</v>
      </c>
      <c r="AY87" s="36" t="s">
        <v>211</v>
      </c>
      <c r="AZ87" s="36" t="s">
        <v>160</v>
      </c>
      <c r="BA87" s="12" t="s">
        <v>67</v>
      </c>
      <c r="BC87" s="35">
        <f>AW87+AX87</f>
        <v>0</v>
      </c>
      <c r="BD87" s="35">
        <f>H87/(100-BE87)*100</f>
        <v>0</v>
      </c>
      <c r="BE87" s="35">
        <v>0</v>
      </c>
      <c r="BF87" s="35">
        <f>O87</f>
        <v>0</v>
      </c>
      <c r="BH87" s="35">
        <f>G87*AO87</f>
        <v>0</v>
      </c>
      <c r="BI87" s="35">
        <f>G87*AP87</f>
        <v>0</v>
      </c>
      <c r="BJ87" s="35">
        <f>G87*H87</f>
        <v>0</v>
      </c>
      <c r="BK87" s="35"/>
      <c r="BL87" s="35"/>
      <c r="BW87" s="35" t="str">
        <f>I87</f>
        <v>21</v>
      </c>
      <c r="BX87" s="4" t="s">
        <v>209</v>
      </c>
    </row>
    <row r="88" spans="1:76" x14ac:dyDescent="0.25">
      <c r="A88" s="38"/>
      <c r="D88" s="39" t="s">
        <v>212</v>
      </c>
      <c r="E88" s="39" t="s">
        <v>54</v>
      </c>
      <c r="G88" s="40">
        <v>629.48800000000006</v>
      </c>
      <c r="P88" s="41"/>
    </row>
    <row r="89" spans="1:76" x14ac:dyDescent="0.25">
      <c r="A89" s="2" t="s">
        <v>198</v>
      </c>
      <c r="B89" s="3" t="s">
        <v>55</v>
      </c>
      <c r="C89" s="3" t="s">
        <v>213</v>
      </c>
      <c r="D89" s="106" t="s">
        <v>214</v>
      </c>
      <c r="E89" s="107"/>
      <c r="F89" s="3" t="s">
        <v>210</v>
      </c>
      <c r="G89" s="35">
        <v>5665.3919999999998</v>
      </c>
      <c r="H89" s="35"/>
      <c r="I89" s="36" t="s">
        <v>63</v>
      </c>
      <c r="J89" s="35">
        <f>G89*AO89</f>
        <v>0</v>
      </c>
      <c r="K89" s="35">
        <f>G89*AP89</f>
        <v>0</v>
      </c>
      <c r="L89" s="35">
        <f>G89*H89</f>
        <v>0</v>
      </c>
      <c r="M89" s="35">
        <f>L89*(1+BW89/100)</f>
        <v>0</v>
      </c>
      <c r="N89" s="35">
        <v>0</v>
      </c>
      <c r="O89" s="35">
        <f>G89*N89</f>
        <v>0</v>
      </c>
      <c r="P89" s="37" t="s">
        <v>64</v>
      </c>
      <c r="Z89" s="35">
        <f>IF(AQ89="5",BJ89,0)</f>
        <v>0</v>
      </c>
      <c r="AB89" s="35">
        <f>IF(AQ89="1",BH89,0)</f>
        <v>0</v>
      </c>
      <c r="AC89" s="35">
        <f>IF(AQ89="1",BI89,0)</f>
        <v>0</v>
      </c>
      <c r="AD89" s="35">
        <f>IF(AQ89="7",BH89,0)</f>
        <v>0</v>
      </c>
      <c r="AE89" s="35">
        <f>IF(AQ89="7",BI89,0)</f>
        <v>0</v>
      </c>
      <c r="AF89" s="35">
        <f>IF(AQ89="2",BH89,0)</f>
        <v>0</v>
      </c>
      <c r="AG89" s="35">
        <f>IF(AQ89="2",BI89,0)</f>
        <v>0</v>
      </c>
      <c r="AH89" s="35">
        <f>IF(AQ89="0",BJ89,0)</f>
        <v>0</v>
      </c>
      <c r="AI89" s="12" t="s">
        <v>55</v>
      </c>
      <c r="AJ89" s="35">
        <f>IF(AN89=0,L89,0)</f>
        <v>0</v>
      </c>
      <c r="AK89" s="35">
        <f>IF(AN89=12,L89,0)</f>
        <v>0</v>
      </c>
      <c r="AL89" s="35">
        <f>IF(AN89=21,L89,0)</f>
        <v>0</v>
      </c>
      <c r="AN89" s="35">
        <v>21</v>
      </c>
      <c r="AO89" s="35">
        <f>H89*0</f>
        <v>0</v>
      </c>
      <c r="AP89" s="35">
        <f>H89*(1-0)</f>
        <v>0</v>
      </c>
      <c r="AQ89" s="36" t="s">
        <v>88</v>
      </c>
      <c r="AV89" s="35">
        <f>AW89+AX89</f>
        <v>0</v>
      </c>
      <c r="AW89" s="35">
        <f>G89*AO89</f>
        <v>0</v>
      </c>
      <c r="AX89" s="35">
        <f>G89*AP89</f>
        <v>0</v>
      </c>
      <c r="AY89" s="36" t="s">
        <v>211</v>
      </c>
      <c r="AZ89" s="36" t="s">
        <v>160</v>
      </c>
      <c r="BA89" s="12" t="s">
        <v>67</v>
      </c>
      <c r="BC89" s="35">
        <f>AW89+AX89</f>
        <v>0</v>
      </c>
      <c r="BD89" s="35">
        <f>H89/(100-BE89)*100</f>
        <v>0</v>
      </c>
      <c r="BE89" s="35">
        <v>0</v>
      </c>
      <c r="BF89" s="35">
        <f>O89</f>
        <v>0</v>
      </c>
      <c r="BH89" s="35">
        <f>G89*AO89</f>
        <v>0</v>
      </c>
      <c r="BI89" s="35">
        <f>G89*AP89</f>
        <v>0</v>
      </c>
      <c r="BJ89" s="35">
        <f>G89*H89</f>
        <v>0</v>
      </c>
      <c r="BK89" s="35"/>
      <c r="BL89" s="35"/>
      <c r="BW89" s="35" t="str">
        <f>I89</f>
        <v>21</v>
      </c>
      <c r="BX89" s="4" t="s">
        <v>214</v>
      </c>
    </row>
    <row r="90" spans="1:76" x14ac:dyDescent="0.25">
      <c r="A90" s="38"/>
      <c r="D90" s="39" t="s">
        <v>215</v>
      </c>
      <c r="E90" s="39" t="s">
        <v>54</v>
      </c>
      <c r="G90" s="40">
        <v>5665.3919999999998</v>
      </c>
      <c r="P90" s="41"/>
    </row>
    <row r="91" spans="1:76" x14ac:dyDescent="0.25">
      <c r="A91" s="2" t="s">
        <v>216</v>
      </c>
      <c r="B91" s="3" t="s">
        <v>55</v>
      </c>
      <c r="C91" s="3" t="s">
        <v>217</v>
      </c>
      <c r="D91" s="106" t="s">
        <v>218</v>
      </c>
      <c r="E91" s="107"/>
      <c r="F91" s="3" t="s">
        <v>210</v>
      </c>
      <c r="G91" s="35">
        <v>184.22</v>
      </c>
      <c r="H91" s="35"/>
      <c r="I91" s="36" t="s">
        <v>63</v>
      </c>
      <c r="J91" s="35">
        <f>G91*AO91</f>
        <v>0</v>
      </c>
      <c r="K91" s="35">
        <f>G91*AP91</f>
        <v>0</v>
      </c>
      <c r="L91" s="35">
        <f>G91*H91</f>
        <v>0</v>
      </c>
      <c r="M91" s="35">
        <f>L91*(1+BW91/100)</f>
        <v>0</v>
      </c>
      <c r="N91" s="35">
        <v>0</v>
      </c>
      <c r="O91" s="35">
        <f>G91*N91</f>
        <v>0</v>
      </c>
      <c r="P91" s="37" t="s">
        <v>219</v>
      </c>
      <c r="Z91" s="35">
        <f>IF(AQ91="5",BJ91,0)</f>
        <v>0</v>
      </c>
      <c r="AB91" s="35">
        <f>IF(AQ91="1",BH91,0)</f>
        <v>0</v>
      </c>
      <c r="AC91" s="35">
        <f>IF(AQ91="1",BI91,0)</f>
        <v>0</v>
      </c>
      <c r="AD91" s="35">
        <f>IF(AQ91="7",BH91,0)</f>
        <v>0</v>
      </c>
      <c r="AE91" s="35">
        <f>IF(AQ91="7",BI91,0)</f>
        <v>0</v>
      </c>
      <c r="AF91" s="35">
        <f>IF(AQ91="2",BH91,0)</f>
        <v>0</v>
      </c>
      <c r="AG91" s="35">
        <f>IF(AQ91="2",BI91,0)</f>
        <v>0</v>
      </c>
      <c r="AH91" s="35">
        <f>IF(AQ91="0",BJ91,0)</f>
        <v>0</v>
      </c>
      <c r="AI91" s="12" t="s">
        <v>55</v>
      </c>
      <c r="AJ91" s="35">
        <f>IF(AN91=0,L91,0)</f>
        <v>0</v>
      </c>
      <c r="AK91" s="35">
        <f>IF(AN91=12,L91,0)</f>
        <v>0</v>
      </c>
      <c r="AL91" s="35">
        <f>IF(AN91=21,L91,0)</f>
        <v>0</v>
      </c>
      <c r="AN91" s="35">
        <v>21</v>
      </c>
      <c r="AO91" s="35">
        <f>H91*0</f>
        <v>0</v>
      </c>
      <c r="AP91" s="35">
        <f>H91*(1-0)</f>
        <v>0</v>
      </c>
      <c r="AQ91" s="36" t="s">
        <v>88</v>
      </c>
      <c r="AV91" s="35">
        <f>AW91+AX91</f>
        <v>0</v>
      </c>
      <c r="AW91" s="35">
        <f>G91*AO91</f>
        <v>0</v>
      </c>
      <c r="AX91" s="35">
        <f>G91*AP91</f>
        <v>0</v>
      </c>
      <c r="AY91" s="36" t="s">
        <v>211</v>
      </c>
      <c r="AZ91" s="36" t="s">
        <v>160</v>
      </c>
      <c r="BA91" s="12" t="s">
        <v>67</v>
      </c>
      <c r="BC91" s="35">
        <f>AW91+AX91</f>
        <v>0</v>
      </c>
      <c r="BD91" s="35">
        <f>H91/(100-BE91)*100</f>
        <v>0</v>
      </c>
      <c r="BE91" s="35">
        <v>0</v>
      </c>
      <c r="BF91" s="35">
        <f>O91</f>
        <v>0</v>
      </c>
      <c r="BH91" s="35">
        <f>G91*AO91</f>
        <v>0</v>
      </c>
      <c r="BI91" s="35">
        <f>G91*AP91</f>
        <v>0</v>
      </c>
      <c r="BJ91" s="35">
        <f>G91*H91</f>
        <v>0</v>
      </c>
      <c r="BK91" s="35"/>
      <c r="BL91" s="35"/>
      <c r="BW91" s="35" t="str">
        <f>I91</f>
        <v>21</v>
      </c>
      <c r="BX91" s="4" t="s">
        <v>218</v>
      </c>
    </row>
    <row r="92" spans="1:76" x14ac:dyDescent="0.25">
      <c r="A92" s="38"/>
      <c r="D92" s="39" t="s">
        <v>220</v>
      </c>
      <c r="E92" s="39" t="s">
        <v>221</v>
      </c>
      <c r="G92" s="40">
        <v>32</v>
      </c>
      <c r="P92" s="41"/>
    </row>
    <row r="93" spans="1:76" x14ac:dyDescent="0.25">
      <c r="A93" s="38"/>
      <c r="D93" s="39" t="s">
        <v>222</v>
      </c>
      <c r="E93" s="39" t="s">
        <v>223</v>
      </c>
      <c r="G93" s="40">
        <v>4.6900000000000004</v>
      </c>
      <c r="P93" s="41"/>
    </row>
    <row r="94" spans="1:76" x14ac:dyDescent="0.25">
      <c r="A94" s="38"/>
      <c r="D94" s="39" t="s">
        <v>224</v>
      </c>
      <c r="E94" s="39" t="s">
        <v>225</v>
      </c>
      <c r="G94" s="40">
        <v>16.28</v>
      </c>
      <c r="P94" s="41"/>
    </row>
    <row r="95" spans="1:76" x14ac:dyDescent="0.25">
      <c r="A95" s="38"/>
      <c r="D95" s="39" t="s">
        <v>226</v>
      </c>
      <c r="E95" s="39" t="s">
        <v>227</v>
      </c>
      <c r="G95" s="40">
        <v>131.25</v>
      </c>
      <c r="P95" s="41"/>
    </row>
    <row r="96" spans="1:76" x14ac:dyDescent="0.25">
      <c r="A96" s="2" t="s">
        <v>228</v>
      </c>
      <c r="B96" s="3" t="s">
        <v>55</v>
      </c>
      <c r="C96" s="3" t="s">
        <v>229</v>
      </c>
      <c r="D96" s="106" t="s">
        <v>230</v>
      </c>
      <c r="E96" s="107"/>
      <c r="F96" s="3" t="s">
        <v>210</v>
      </c>
      <c r="G96" s="35">
        <v>2.75</v>
      </c>
      <c r="H96" s="35"/>
      <c r="I96" s="36" t="s">
        <v>63</v>
      </c>
      <c r="J96" s="35">
        <f>G96*AO96</f>
        <v>0</v>
      </c>
      <c r="K96" s="35">
        <f>G96*AP96</f>
        <v>0</v>
      </c>
      <c r="L96" s="35">
        <f>G96*H96</f>
        <v>0</v>
      </c>
      <c r="M96" s="35">
        <f>L96*(1+BW96/100)</f>
        <v>0</v>
      </c>
      <c r="N96" s="35">
        <v>0</v>
      </c>
      <c r="O96" s="35">
        <f>G96*N96</f>
        <v>0</v>
      </c>
      <c r="P96" s="37" t="s">
        <v>64</v>
      </c>
      <c r="Z96" s="35">
        <f>IF(AQ96="5",BJ96,0)</f>
        <v>0</v>
      </c>
      <c r="AB96" s="35">
        <f>IF(AQ96="1",BH96,0)</f>
        <v>0</v>
      </c>
      <c r="AC96" s="35">
        <f>IF(AQ96="1",BI96,0)</f>
        <v>0</v>
      </c>
      <c r="AD96" s="35">
        <f>IF(AQ96="7",BH96,0)</f>
        <v>0</v>
      </c>
      <c r="AE96" s="35">
        <f>IF(AQ96="7",BI96,0)</f>
        <v>0</v>
      </c>
      <c r="AF96" s="35">
        <f>IF(AQ96="2",BH96,0)</f>
        <v>0</v>
      </c>
      <c r="AG96" s="35">
        <f>IF(AQ96="2",BI96,0)</f>
        <v>0</v>
      </c>
      <c r="AH96" s="35">
        <f>IF(AQ96="0",BJ96,0)</f>
        <v>0</v>
      </c>
      <c r="AI96" s="12" t="s">
        <v>55</v>
      </c>
      <c r="AJ96" s="35">
        <f>IF(AN96=0,L96,0)</f>
        <v>0</v>
      </c>
      <c r="AK96" s="35">
        <f>IF(AN96=12,L96,0)</f>
        <v>0</v>
      </c>
      <c r="AL96" s="35">
        <f>IF(AN96=21,L96,0)</f>
        <v>0</v>
      </c>
      <c r="AN96" s="35">
        <v>21</v>
      </c>
      <c r="AO96" s="35">
        <f>H96*0</f>
        <v>0</v>
      </c>
      <c r="AP96" s="35">
        <f>H96*(1-0)</f>
        <v>0</v>
      </c>
      <c r="AQ96" s="36" t="s">
        <v>88</v>
      </c>
      <c r="AV96" s="35">
        <f>AW96+AX96</f>
        <v>0</v>
      </c>
      <c r="AW96" s="35">
        <f>G96*AO96</f>
        <v>0</v>
      </c>
      <c r="AX96" s="35">
        <f>G96*AP96</f>
        <v>0</v>
      </c>
      <c r="AY96" s="36" t="s">
        <v>211</v>
      </c>
      <c r="AZ96" s="36" t="s">
        <v>160</v>
      </c>
      <c r="BA96" s="12" t="s">
        <v>67</v>
      </c>
      <c r="BC96" s="35">
        <f>AW96+AX96</f>
        <v>0</v>
      </c>
      <c r="BD96" s="35">
        <f>H96/(100-BE96)*100</f>
        <v>0</v>
      </c>
      <c r="BE96" s="35">
        <v>0</v>
      </c>
      <c r="BF96" s="35">
        <f>O96</f>
        <v>0</v>
      </c>
      <c r="BH96" s="35">
        <f>G96*AO96</f>
        <v>0</v>
      </c>
      <c r="BI96" s="35">
        <f>G96*AP96</f>
        <v>0</v>
      </c>
      <c r="BJ96" s="35">
        <f>G96*H96</f>
        <v>0</v>
      </c>
      <c r="BK96" s="35"/>
      <c r="BL96" s="35"/>
      <c r="BW96" s="35" t="str">
        <f>I96</f>
        <v>21</v>
      </c>
      <c r="BX96" s="4" t="s">
        <v>230</v>
      </c>
    </row>
    <row r="97" spans="1:76" x14ac:dyDescent="0.25">
      <c r="A97" s="38"/>
      <c r="D97" s="39" t="s">
        <v>231</v>
      </c>
      <c r="E97" s="39" t="s">
        <v>232</v>
      </c>
      <c r="G97" s="40">
        <v>2.75</v>
      </c>
      <c r="P97" s="41"/>
    </row>
    <row r="98" spans="1:76" x14ac:dyDescent="0.25">
      <c r="A98" s="2" t="s">
        <v>233</v>
      </c>
      <c r="B98" s="3" t="s">
        <v>55</v>
      </c>
      <c r="C98" s="3" t="s">
        <v>234</v>
      </c>
      <c r="D98" s="106" t="s">
        <v>235</v>
      </c>
      <c r="E98" s="107"/>
      <c r="F98" s="3" t="s">
        <v>210</v>
      </c>
      <c r="G98" s="35">
        <v>442.51799999999997</v>
      </c>
      <c r="H98" s="35"/>
      <c r="I98" s="36" t="s">
        <v>63</v>
      </c>
      <c r="J98" s="35">
        <f>G98*AO98</f>
        <v>0</v>
      </c>
      <c r="K98" s="35">
        <f>G98*AP98</f>
        <v>0</v>
      </c>
      <c r="L98" s="35">
        <f>G98*H98</f>
        <v>0</v>
      </c>
      <c r="M98" s="35">
        <f>L98*(1+BW98/100)</f>
        <v>0</v>
      </c>
      <c r="N98" s="35">
        <v>0</v>
      </c>
      <c r="O98" s="35">
        <f>G98*N98</f>
        <v>0</v>
      </c>
      <c r="P98" s="37" t="s">
        <v>64</v>
      </c>
      <c r="Z98" s="35">
        <f>IF(AQ98="5",BJ98,0)</f>
        <v>0</v>
      </c>
      <c r="AB98" s="35">
        <f>IF(AQ98="1",BH98,0)</f>
        <v>0</v>
      </c>
      <c r="AC98" s="35">
        <f>IF(AQ98="1",BI98,0)</f>
        <v>0</v>
      </c>
      <c r="AD98" s="35">
        <f>IF(AQ98="7",BH98,0)</f>
        <v>0</v>
      </c>
      <c r="AE98" s="35">
        <f>IF(AQ98="7",BI98,0)</f>
        <v>0</v>
      </c>
      <c r="AF98" s="35">
        <f>IF(AQ98="2",BH98,0)</f>
        <v>0</v>
      </c>
      <c r="AG98" s="35">
        <f>IF(AQ98="2",BI98,0)</f>
        <v>0</v>
      </c>
      <c r="AH98" s="35">
        <f>IF(AQ98="0",BJ98,0)</f>
        <v>0</v>
      </c>
      <c r="AI98" s="12" t="s">
        <v>55</v>
      </c>
      <c r="AJ98" s="35">
        <f>IF(AN98=0,L98,0)</f>
        <v>0</v>
      </c>
      <c r="AK98" s="35">
        <f>IF(AN98=12,L98,0)</f>
        <v>0</v>
      </c>
      <c r="AL98" s="35">
        <f>IF(AN98=21,L98,0)</f>
        <v>0</v>
      </c>
      <c r="AN98" s="35">
        <v>21</v>
      </c>
      <c r="AO98" s="35">
        <f>H98*0</f>
        <v>0</v>
      </c>
      <c r="AP98" s="35">
        <f>H98*(1-0)</f>
        <v>0</v>
      </c>
      <c r="AQ98" s="36" t="s">
        <v>88</v>
      </c>
      <c r="AV98" s="35">
        <f>AW98+AX98</f>
        <v>0</v>
      </c>
      <c r="AW98" s="35">
        <f>G98*AO98</f>
        <v>0</v>
      </c>
      <c r="AX98" s="35">
        <f>G98*AP98</f>
        <v>0</v>
      </c>
      <c r="AY98" s="36" t="s">
        <v>211</v>
      </c>
      <c r="AZ98" s="36" t="s">
        <v>160</v>
      </c>
      <c r="BA98" s="12" t="s">
        <v>67</v>
      </c>
      <c r="BC98" s="35">
        <f>AW98+AX98</f>
        <v>0</v>
      </c>
      <c r="BD98" s="35">
        <f>H98/(100-BE98)*100</f>
        <v>0</v>
      </c>
      <c r="BE98" s="35">
        <v>0</v>
      </c>
      <c r="BF98" s="35">
        <f>O98</f>
        <v>0</v>
      </c>
      <c r="BH98" s="35">
        <f>G98*AO98</f>
        <v>0</v>
      </c>
      <c r="BI98" s="35">
        <f>G98*AP98</f>
        <v>0</v>
      </c>
      <c r="BJ98" s="35">
        <f>G98*H98</f>
        <v>0</v>
      </c>
      <c r="BK98" s="35"/>
      <c r="BL98" s="35"/>
      <c r="BW98" s="35" t="str">
        <f>I98</f>
        <v>21</v>
      </c>
      <c r="BX98" s="4" t="s">
        <v>235</v>
      </c>
    </row>
    <row r="99" spans="1:76" x14ac:dyDescent="0.25">
      <c r="A99" s="38"/>
      <c r="D99" s="39" t="s">
        <v>236</v>
      </c>
      <c r="E99" s="39" t="s">
        <v>237</v>
      </c>
      <c r="G99" s="40">
        <v>236.04</v>
      </c>
      <c r="P99" s="41"/>
    </row>
    <row r="100" spans="1:76" x14ac:dyDescent="0.25">
      <c r="A100" s="38"/>
      <c r="D100" s="39" t="s">
        <v>238</v>
      </c>
      <c r="E100" s="39" t="s">
        <v>239</v>
      </c>
      <c r="G100" s="40">
        <v>206.47800000000001</v>
      </c>
      <c r="P100" s="41"/>
    </row>
    <row r="101" spans="1:76" x14ac:dyDescent="0.25">
      <c r="A101" s="31" t="s">
        <v>54</v>
      </c>
      <c r="B101" s="32" t="s">
        <v>240</v>
      </c>
      <c r="C101" s="32" t="s">
        <v>54</v>
      </c>
      <c r="D101" s="164" t="s">
        <v>241</v>
      </c>
      <c r="E101" s="165"/>
      <c r="F101" s="33" t="s">
        <v>3</v>
      </c>
      <c r="G101" s="33" t="s">
        <v>3</v>
      </c>
      <c r="H101" s="33"/>
      <c r="I101" s="33" t="s">
        <v>3</v>
      </c>
      <c r="J101" s="1">
        <f>J102+J116+J123+J126+J129+J159+J171+J191+J196+J204+J207+J210</f>
        <v>0</v>
      </c>
      <c r="K101" s="1">
        <f>K102+K116+K123+K126+K129+K159+K171+K191+K196+K204+K207+K210</f>
        <v>0</v>
      </c>
      <c r="L101" s="1">
        <f>L102+L116+L123+L126+L129+L159+L171+L191+L196+L204+L207+L210</f>
        <v>0</v>
      </c>
      <c r="M101" s="1">
        <f>M102+M116+M123+M126+M129+M159+M171+M191+M196+M204+M207+M210</f>
        <v>0</v>
      </c>
      <c r="N101" s="12" t="s">
        <v>54</v>
      </c>
      <c r="O101" s="1">
        <f>O102+O116+O123+O126+O129+O159+O171+O191+O196+O204+O207+O210</f>
        <v>1061.63667691</v>
      </c>
      <c r="P101" s="34" t="s">
        <v>54</v>
      </c>
    </row>
    <row r="102" spans="1:76" x14ac:dyDescent="0.25">
      <c r="A102" s="31" t="s">
        <v>54</v>
      </c>
      <c r="B102" s="32" t="s">
        <v>240</v>
      </c>
      <c r="C102" s="32" t="s">
        <v>179</v>
      </c>
      <c r="D102" s="164" t="s">
        <v>242</v>
      </c>
      <c r="E102" s="165"/>
      <c r="F102" s="33" t="s">
        <v>3</v>
      </c>
      <c r="G102" s="33" t="s">
        <v>3</v>
      </c>
      <c r="H102" s="33"/>
      <c r="I102" s="33" t="s">
        <v>3</v>
      </c>
      <c r="J102" s="1">
        <f>SUM(J103:J113)</f>
        <v>0</v>
      </c>
      <c r="K102" s="1">
        <f>SUM(K103:K113)</f>
        <v>0</v>
      </c>
      <c r="L102" s="1">
        <f>SUM(L103:L113)</f>
        <v>0</v>
      </c>
      <c r="M102" s="1">
        <f>SUM(M103:M113)</f>
        <v>0</v>
      </c>
      <c r="N102" s="12" t="s">
        <v>54</v>
      </c>
      <c r="O102" s="1">
        <f>SUM(O103:O113)</f>
        <v>520.29809999999998</v>
      </c>
      <c r="P102" s="34" t="s">
        <v>54</v>
      </c>
      <c r="AI102" s="12" t="s">
        <v>240</v>
      </c>
      <c r="AS102" s="1">
        <f>SUM(AJ103:AJ113)</f>
        <v>0</v>
      </c>
      <c r="AT102" s="1">
        <f>SUM(AK103:AK113)</f>
        <v>0</v>
      </c>
      <c r="AU102" s="1">
        <f>SUM(AL103:AL113)</f>
        <v>0</v>
      </c>
    </row>
    <row r="103" spans="1:76" x14ac:dyDescent="0.25">
      <c r="A103" s="2" t="s">
        <v>243</v>
      </c>
      <c r="B103" s="3" t="s">
        <v>240</v>
      </c>
      <c r="C103" s="3" t="s">
        <v>244</v>
      </c>
      <c r="D103" s="106" t="s">
        <v>245</v>
      </c>
      <c r="E103" s="107"/>
      <c r="F103" s="3" t="s">
        <v>116</v>
      </c>
      <c r="G103" s="35">
        <v>268.04000000000002</v>
      </c>
      <c r="H103" s="35"/>
      <c r="I103" s="36" t="s">
        <v>63</v>
      </c>
      <c r="J103" s="35">
        <f>G103*AO103</f>
        <v>0</v>
      </c>
      <c r="K103" s="35">
        <f>G103*AP103</f>
        <v>0</v>
      </c>
      <c r="L103" s="35">
        <f>G103*H103</f>
        <v>0</v>
      </c>
      <c r="M103" s="35">
        <f>L103*(1+BW103/100)</f>
        <v>0</v>
      </c>
      <c r="N103" s="35">
        <v>0</v>
      </c>
      <c r="O103" s="35">
        <f>G103*N103</f>
        <v>0</v>
      </c>
      <c r="P103" s="37" t="s">
        <v>64</v>
      </c>
      <c r="Z103" s="35">
        <f>IF(AQ103="5",BJ103,0)</f>
        <v>0</v>
      </c>
      <c r="AB103" s="35">
        <f>IF(AQ103="1",BH103,0)</f>
        <v>0</v>
      </c>
      <c r="AC103" s="35">
        <f>IF(AQ103="1",BI103,0)</f>
        <v>0</v>
      </c>
      <c r="AD103" s="35">
        <f>IF(AQ103="7",BH103,0)</f>
        <v>0</v>
      </c>
      <c r="AE103" s="35">
        <f>IF(AQ103="7",BI103,0)</f>
        <v>0</v>
      </c>
      <c r="AF103" s="35">
        <f>IF(AQ103="2",BH103,0)</f>
        <v>0</v>
      </c>
      <c r="AG103" s="35">
        <f>IF(AQ103="2",BI103,0)</f>
        <v>0</v>
      </c>
      <c r="AH103" s="35">
        <f>IF(AQ103="0",BJ103,0)</f>
        <v>0</v>
      </c>
      <c r="AI103" s="12" t="s">
        <v>240</v>
      </c>
      <c r="AJ103" s="35">
        <f>IF(AN103=0,L103,0)</f>
        <v>0</v>
      </c>
      <c r="AK103" s="35">
        <f>IF(AN103=12,L103,0)</f>
        <v>0</v>
      </c>
      <c r="AL103" s="35">
        <f>IF(AN103=21,L103,0)</f>
        <v>0</v>
      </c>
      <c r="AN103" s="35">
        <v>21</v>
      </c>
      <c r="AO103" s="35">
        <f>H103*0</f>
        <v>0</v>
      </c>
      <c r="AP103" s="35">
        <f>H103*(1-0)</f>
        <v>0</v>
      </c>
      <c r="AQ103" s="36" t="s">
        <v>59</v>
      </c>
      <c r="AV103" s="35">
        <f>AW103+AX103</f>
        <v>0</v>
      </c>
      <c r="AW103" s="35">
        <f>G103*AO103</f>
        <v>0</v>
      </c>
      <c r="AX103" s="35">
        <f>G103*AP103</f>
        <v>0</v>
      </c>
      <c r="AY103" s="36" t="s">
        <v>246</v>
      </c>
      <c r="AZ103" s="36" t="s">
        <v>247</v>
      </c>
      <c r="BA103" s="12" t="s">
        <v>248</v>
      </c>
      <c r="BC103" s="35">
        <f>AW103+AX103</f>
        <v>0</v>
      </c>
      <c r="BD103" s="35">
        <f>H103/(100-BE103)*100</f>
        <v>0</v>
      </c>
      <c r="BE103" s="35">
        <v>0</v>
      </c>
      <c r="BF103" s="35">
        <f>O103</f>
        <v>0</v>
      </c>
      <c r="BH103" s="35">
        <f>G103*AO103</f>
        <v>0</v>
      </c>
      <c r="BI103" s="35">
        <f>G103*AP103</f>
        <v>0</v>
      </c>
      <c r="BJ103" s="35">
        <f>G103*H103</f>
        <v>0</v>
      </c>
      <c r="BK103" s="35"/>
      <c r="BL103" s="35">
        <v>17</v>
      </c>
      <c r="BW103" s="35" t="str">
        <f>I103</f>
        <v>21</v>
      </c>
      <c r="BX103" s="4" t="s">
        <v>245</v>
      </c>
    </row>
    <row r="104" spans="1:76" x14ac:dyDescent="0.25">
      <c r="A104" s="38"/>
      <c r="D104" s="39" t="s">
        <v>54</v>
      </c>
      <c r="E104" s="39" t="s">
        <v>249</v>
      </c>
      <c r="G104" s="40">
        <v>0</v>
      </c>
      <c r="P104" s="41"/>
    </row>
    <row r="105" spans="1:76" x14ac:dyDescent="0.25">
      <c r="A105" s="38"/>
      <c r="D105" s="39" t="s">
        <v>250</v>
      </c>
      <c r="E105" s="39" t="s">
        <v>251</v>
      </c>
      <c r="G105" s="40">
        <v>129.54</v>
      </c>
      <c r="P105" s="41"/>
    </row>
    <row r="106" spans="1:76" x14ac:dyDescent="0.25">
      <c r="A106" s="38"/>
      <c r="D106" s="39" t="s">
        <v>252</v>
      </c>
      <c r="E106" s="39" t="s">
        <v>253</v>
      </c>
      <c r="G106" s="40">
        <v>88</v>
      </c>
      <c r="P106" s="41"/>
    </row>
    <row r="107" spans="1:76" x14ac:dyDescent="0.25">
      <c r="A107" s="38"/>
      <c r="D107" s="39" t="s">
        <v>254</v>
      </c>
      <c r="E107" s="39" t="s">
        <v>255</v>
      </c>
      <c r="G107" s="40">
        <v>50.5</v>
      </c>
      <c r="P107" s="41"/>
    </row>
    <row r="108" spans="1:76" x14ac:dyDescent="0.25">
      <c r="A108" s="2" t="s">
        <v>256</v>
      </c>
      <c r="B108" s="3" t="s">
        <v>240</v>
      </c>
      <c r="C108" s="3" t="s">
        <v>257</v>
      </c>
      <c r="D108" s="106" t="s">
        <v>258</v>
      </c>
      <c r="E108" s="107"/>
      <c r="F108" s="3" t="s">
        <v>210</v>
      </c>
      <c r="G108" s="35">
        <v>506.59559999999999</v>
      </c>
      <c r="H108" s="35"/>
      <c r="I108" s="36" t="s">
        <v>63</v>
      </c>
      <c r="J108" s="35">
        <f>G108*AO108</f>
        <v>0</v>
      </c>
      <c r="K108" s="35">
        <f>G108*AP108</f>
        <v>0</v>
      </c>
      <c r="L108" s="35">
        <f>G108*H108</f>
        <v>0</v>
      </c>
      <c r="M108" s="35">
        <f>L108*(1+BW108/100)</f>
        <v>0</v>
      </c>
      <c r="N108" s="35">
        <v>1</v>
      </c>
      <c r="O108" s="35">
        <f>G108*N108</f>
        <v>506.59559999999999</v>
      </c>
      <c r="P108" s="37" t="s">
        <v>219</v>
      </c>
      <c r="Z108" s="35">
        <f>IF(AQ108="5",BJ108,0)</f>
        <v>0</v>
      </c>
      <c r="AB108" s="35">
        <f>IF(AQ108="1",BH108,0)</f>
        <v>0</v>
      </c>
      <c r="AC108" s="35">
        <f>IF(AQ108="1",BI108,0)</f>
        <v>0</v>
      </c>
      <c r="AD108" s="35">
        <f>IF(AQ108="7",BH108,0)</f>
        <v>0</v>
      </c>
      <c r="AE108" s="35">
        <f>IF(AQ108="7",BI108,0)</f>
        <v>0</v>
      </c>
      <c r="AF108" s="35">
        <f>IF(AQ108="2",BH108,0)</f>
        <v>0</v>
      </c>
      <c r="AG108" s="35">
        <f>IF(AQ108="2",BI108,0)</f>
        <v>0</v>
      </c>
      <c r="AH108" s="35">
        <f>IF(AQ108="0",BJ108,0)</f>
        <v>0</v>
      </c>
      <c r="AI108" s="12" t="s">
        <v>240</v>
      </c>
      <c r="AJ108" s="35">
        <f>IF(AN108=0,L108,0)</f>
        <v>0</v>
      </c>
      <c r="AK108" s="35">
        <f>IF(AN108=12,L108,0)</f>
        <v>0</v>
      </c>
      <c r="AL108" s="35">
        <f>IF(AN108=21,L108,0)</f>
        <v>0</v>
      </c>
      <c r="AN108" s="35">
        <v>21</v>
      </c>
      <c r="AO108" s="35">
        <f>H108*1</f>
        <v>0</v>
      </c>
      <c r="AP108" s="35">
        <f>H108*(1-1)</f>
        <v>0</v>
      </c>
      <c r="AQ108" s="36" t="s">
        <v>59</v>
      </c>
      <c r="AV108" s="35">
        <f>AW108+AX108</f>
        <v>0</v>
      </c>
      <c r="AW108" s="35">
        <f>G108*AO108</f>
        <v>0</v>
      </c>
      <c r="AX108" s="35">
        <f>G108*AP108</f>
        <v>0</v>
      </c>
      <c r="AY108" s="36" t="s">
        <v>246</v>
      </c>
      <c r="AZ108" s="36" t="s">
        <v>247</v>
      </c>
      <c r="BA108" s="12" t="s">
        <v>248</v>
      </c>
      <c r="BC108" s="35">
        <f>AW108+AX108</f>
        <v>0</v>
      </c>
      <c r="BD108" s="35">
        <f>H108/(100-BE108)*100</f>
        <v>0</v>
      </c>
      <c r="BE108" s="35">
        <v>0</v>
      </c>
      <c r="BF108" s="35">
        <f>O108</f>
        <v>506.59559999999999</v>
      </c>
      <c r="BH108" s="35">
        <f>G108*AO108</f>
        <v>0</v>
      </c>
      <c r="BI108" s="35">
        <f>G108*AP108</f>
        <v>0</v>
      </c>
      <c r="BJ108" s="35">
        <f>G108*H108</f>
        <v>0</v>
      </c>
      <c r="BK108" s="35"/>
      <c r="BL108" s="35">
        <v>17</v>
      </c>
      <c r="BW108" s="35" t="str">
        <f>I108</f>
        <v>21</v>
      </c>
      <c r="BX108" s="4" t="s">
        <v>258</v>
      </c>
    </row>
    <row r="109" spans="1:76" x14ac:dyDescent="0.25">
      <c r="A109" s="38"/>
      <c r="D109" s="39" t="s">
        <v>259</v>
      </c>
      <c r="E109" s="39" t="s">
        <v>54</v>
      </c>
      <c r="G109" s="40">
        <v>482.47199999999998</v>
      </c>
      <c r="P109" s="41"/>
    </row>
    <row r="110" spans="1:76" x14ac:dyDescent="0.25">
      <c r="A110" s="38"/>
      <c r="D110" s="39" t="s">
        <v>260</v>
      </c>
      <c r="E110" s="39" t="s">
        <v>54</v>
      </c>
      <c r="G110" s="40">
        <v>24.1236</v>
      </c>
      <c r="P110" s="41"/>
    </row>
    <row r="111" spans="1:76" x14ac:dyDescent="0.25">
      <c r="A111" s="2" t="s">
        <v>261</v>
      </c>
      <c r="B111" s="3" t="s">
        <v>240</v>
      </c>
      <c r="C111" s="3" t="s">
        <v>244</v>
      </c>
      <c r="D111" s="106" t="s">
        <v>262</v>
      </c>
      <c r="E111" s="107"/>
      <c r="F111" s="3" t="s">
        <v>116</v>
      </c>
      <c r="G111" s="35">
        <v>9</v>
      </c>
      <c r="H111" s="35"/>
      <c r="I111" s="36" t="s">
        <v>63</v>
      </c>
      <c r="J111" s="35">
        <f>G111*AO111</f>
        <v>0</v>
      </c>
      <c r="K111" s="35">
        <f>G111*AP111</f>
        <v>0</v>
      </c>
      <c r="L111" s="35">
        <f>G111*H111</f>
        <v>0</v>
      </c>
      <c r="M111" s="35">
        <f>L111*(1+BW111/100)</f>
        <v>0</v>
      </c>
      <c r="N111" s="35">
        <v>0</v>
      </c>
      <c r="O111" s="35">
        <f>G111*N111</f>
        <v>0</v>
      </c>
      <c r="P111" s="37" t="s">
        <v>64</v>
      </c>
      <c r="Z111" s="35">
        <f>IF(AQ111="5",BJ111,0)</f>
        <v>0</v>
      </c>
      <c r="AB111" s="35">
        <f>IF(AQ111="1",BH111,0)</f>
        <v>0</v>
      </c>
      <c r="AC111" s="35">
        <f>IF(AQ111="1",BI111,0)</f>
        <v>0</v>
      </c>
      <c r="AD111" s="35">
        <f>IF(AQ111="7",BH111,0)</f>
        <v>0</v>
      </c>
      <c r="AE111" s="35">
        <f>IF(AQ111="7",BI111,0)</f>
        <v>0</v>
      </c>
      <c r="AF111" s="35">
        <f>IF(AQ111="2",BH111,0)</f>
        <v>0</v>
      </c>
      <c r="AG111" s="35">
        <f>IF(AQ111="2",BI111,0)</f>
        <v>0</v>
      </c>
      <c r="AH111" s="35">
        <f>IF(AQ111="0",BJ111,0)</f>
        <v>0</v>
      </c>
      <c r="AI111" s="12" t="s">
        <v>240</v>
      </c>
      <c r="AJ111" s="35">
        <f>IF(AN111=0,L111,0)</f>
        <v>0</v>
      </c>
      <c r="AK111" s="35">
        <f>IF(AN111=12,L111,0)</f>
        <v>0</v>
      </c>
      <c r="AL111" s="35">
        <f>IF(AN111=21,L111,0)</f>
        <v>0</v>
      </c>
      <c r="AN111" s="35">
        <v>21</v>
      </c>
      <c r="AO111" s="35">
        <f>H111*0</f>
        <v>0</v>
      </c>
      <c r="AP111" s="35">
        <f>H111*(1-0)</f>
        <v>0</v>
      </c>
      <c r="AQ111" s="36" t="s">
        <v>59</v>
      </c>
      <c r="AV111" s="35">
        <f>AW111+AX111</f>
        <v>0</v>
      </c>
      <c r="AW111" s="35">
        <f>G111*AO111</f>
        <v>0</v>
      </c>
      <c r="AX111" s="35">
        <f>G111*AP111</f>
        <v>0</v>
      </c>
      <c r="AY111" s="36" t="s">
        <v>246</v>
      </c>
      <c r="AZ111" s="36" t="s">
        <v>247</v>
      </c>
      <c r="BA111" s="12" t="s">
        <v>248</v>
      </c>
      <c r="BC111" s="35">
        <f>AW111+AX111</f>
        <v>0</v>
      </c>
      <c r="BD111" s="35">
        <f>H111/(100-BE111)*100</f>
        <v>0</v>
      </c>
      <c r="BE111" s="35">
        <v>0</v>
      </c>
      <c r="BF111" s="35">
        <f>O111</f>
        <v>0</v>
      </c>
      <c r="BH111" s="35">
        <f>G111*AO111</f>
        <v>0</v>
      </c>
      <c r="BI111" s="35">
        <f>G111*AP111</f>
        <v>0</v>
      </c>
      <c r="BJ111" s="35">
        <f>G111*H111</f>
        <v>0</v>
      </c>
      <c r="BK111" s="35"/>
      <c r="BL111" s="35">
        <v>17</v>
      </c>
      <c r="BW111" s="35" t="str">
        <f>I111</f>
        <v>21</v>
      </c>
      <c r="BX111" s="4" t="s">
        <v>262</v>
      </c>
    </row>
    <row r="112" spans="1:76" x14ac:dyDescent="0.25">
      <c r="A112" s="38"/>
      <c r="D112" s="39" t="s">
        <v>263</v>
      </c>
      <c r="E112" s="39" t="s">
        <v>264</v>
      </c>
      <c r="G112" s="40">
        <v>9</v>
      </c>
      <c r="P112" s="41"/>
    </row>
    <row r="113" spans="1:76" x14ac:dyDescent="0.25">
      <c r="A113" s="2" t="s">
        <v>265</v>
      </c>
      <c r="B113" s="3" t="s">
        <v>240</v>
      </c>
      <c r="C113" s="3" t="s">
        <v>266</v>
      </c>
      <c r="D113" s="106" t="s">
        <v>267</v>
      </c>
      <c r="E113" s="107"/>
      <c r="F113" s="3" t="s">
        <v>210</v>
      </c>
      <c r="G113" s="35">
        <v>13.702500000000001</v>
      </c>
      <c r="H113" s="35"/>
      <c r="I113" s="36" t="s">
        <v>63</v>
      </c>
      <c r="J113" s="35">
        <f>G113*AO113</f>
        <v>0</v>
      </c>
      <c r="K113" s="35">
        <f>G113*AP113</f>
        <v>0</v>
      </c>
      <c r="L113" s="35">
        <f>G113*H113</f>
        <v>0</v>
      </c>
      <c r="M113" s="35">
        <f>L113*(1+BW113/100)</f>
        <v>0</v>
      </c>
      <c r="N113" s="35">
        <v>1</v>
      </c>
      <c r="O113" s="35">
        <f>G113*N113</f>
        <v>13.702500000000001</v>
      </c>
      <c r="P113" s="37" t="s">
        <v>219</v>
      </c>
      <c r="Z113" s="35">
        <f>IF(AQ113="5",BJ113,0)</f>
        <v>0</v>
      </c>
      <c r="AB113" s="35">
        <f>IF(AQ113="1",BH113,0)</f>
        <v>0</v>
      </c>
      <c r="AC113" s="35">
        <f>IF(AQ113="1",BI113,0)</f>
        <v>0</v>
      </c>
      <c r="AD113" s="35">
        <f>IF(AQ113="7",BH113,0)</f>
        <v>0</v>
      </c>
      <c r="AE113" s="35">
        <f>IF(AQ113="7",BI113,0)</f>
        <v>0</v>
      </c>
      <c r="AF113" s="35">
        <f>IF(AQ113="2",BH113,0)</f>
        <v>0</v>
      </c>
      <c r="AG113" s="35">
        <f>IF(AQ113="2",BI113,0)</f>
        <v>0</v>
      </c>
      <c r="AH113" s="35">
        <f>IF(AQ113="0",BJ113,0)</f>
        <v>0</v>
      </c>
      <c r="AI113" s="12" t="s">
        <v>240</v>
      </c>
      <c r="AJ113" s="35">
        <f>IF(AN113=0,L113,0)</f>
        <v>0</v>
      </c>
      <c r="AK113" s="35">
        <f>IF(AN113=12,L113,0)</f>
        <v>0</v>
      </c>
      <c r="AL113" s="35">
        <f>IF(AN113=21,L113,0)</f>
        <v>0</v>
      </c>
      <c r="AN113" s="35">
        <v>21</v>
      </c>
      <c r="AO113" s="35">
        <f>H113*1</f>
        <v>0</v>
      </c>
      <c r="AP113" s="35">
        <f>H113*(1-1)</f>
        <v>0</v>
      </c>
      <c r="AQ113" s="36" t="s">
        <v>59</v>
      </c>
      <c r="AV113" s="35">
        <f>AW113+AX113</f>
        <v>0</v>
      </c>
      <c r="AW113" s="35">
        <f>G113*AO113</f>
        <v>0</v>
      </c>
      <c r="AX113" s="35">
        <f>G113*AP113</f>
        <v>0</v>
      </c>
      <c r="AY113" s="36" t="s">
        <v>246</v>
      </c>
      <c r="AZ113" s="36" t="s">
        <v>247</v>
      </c>
      <c r="BA113" s="12" t="s">
        <v>248</v>
      </c>
      <c r="BC113" s="35">
        <f>AW113+AX113</f>
        <v>0</v>
      </c>
      <c r="BD113" s="35">
        <f>H113/(100-BE113)*100</f>
        <v>0</v>
      </c>
      <c r="BE113" s="35">
        <v>0</v>
      </c>
      <c r="BF113" s="35">
        <f>O113</f>
        <v>13.702500000000001</v>
      </c>
      <c r="BH113" s="35">
        <f>G113*AO113</f>
        <v>0</v>
      </c>
      <c r="BI113" s="35">
        <f>G113*AP113</f>
        <v>0</v>
      </c>
      <c r="BJ113" s="35">
        <f>G113*H113</f>
        <v>0</v>
      </c>
      <c r="BK113" s="35"/>
      <c r="BL113" s="35">
        <v>17</v>
      </c>
      <c r="BW113" s="35" t="str">
        <f>I113</f>
        <v>21</v>
      </c>
      <c r="BX113" s="4" t="s">
        <v>267</v>
      </c>
    </row>
    <row r="114" spans="1:76" x14ac:dyDescent="0.25">
      <c r="A114" s="38"/>
      <c r="D114" s="39" t="s">
        <v>268</v>
      </c>
      <c r="E114" s="39" t="s">
        <v>269</v>
      </c>
      <c r="G114" s="40">
        <v>13.05</v>
      </c>
      <c r="P114" s="41"/>
    </row>
    <row r="115" spans="1:76" x14ac:dyDescent="0.25">
      <c r="A115" s="38"/>
      <c r="D115" s="39" t="s">
        <v>270</v>
      </c>
      <c r="E115" s="39" t="s">
        <v>54</v>
      </c>
      <c r="G115" s="40">
        <v>0.65249999999999997</v>
      </c>
      <c r="P115" s="41"/>
    </row>
    <row r="116" spans="1:76" x14ac:dyDescent="0.25">
      <c r="A116" s="31" t="s">
        <v>54</v>
      </c>
      <c r="B116" s="32" t="s">
        <v>240</v>
      </c>
      <c r="C116" s="32" t="s">
        <v>182</v>
      </c>
      <c r="D116" s="164" t="s">
        <v>271</v>
      </c>
      <c r="E116" s="165"/>
      <c r="F116" s="33" t="s">
        <v>3</v>
      </c>
      <c r="G116" s="33" t="s">
        <v>3</v>
      </c>
      <c r="H116" s="33"/>
      <c r="I116" s="33" t="s">
        <v>3</v>
      </c>
      <c r="J116" s="1">
        <f>SUM(J117:J121)</f>
        <v>0</v>
      </c>
      <c r="K116" s="1">
        <f>SUM(K117:K121)</f>
        <v>0</v>
      </c>
      <c r="L116" s="1">
        <f>SUM(L117:L121)</f>
        <v>0</v>
      </c>
      <c r="M116" s="1">
        <f>SUM(M117:M121)</f>
        <v>0</v>
      </c>
      <c r="N116" s="12" t="s">
        <v>54</v>
      </c>
      <c r="O116" s="1">
        <f>SUM(O117:O121)</f>
        <v>5.0000000000000001E-3</v>
      </c>
      <c r="P116" s="34" t="s">
        <v>54</v>
      </c>
      <c r="AI116" s="12" t="s">
        <v>240</v>
      </c>
      <c r="AS116" s="1">
        <f>SUM(AJ117:AJ121)</f>
        <v>0</v>
      </c>
      <c r="AT116" s="1">
        <f>SUM(AK117:AK121)</f>
        <v>0</v>
      </c>
      <c r="AU116" s="1">
        <f>SUM(AL117:AL121)</f>
        <v>0</v>
      </c>
    </row>
    <row r="117" spans="1:76" x14ac:dyDescent="0.25">
      <c r="A117" s="2" t="s">
        <v>220</v>
      </c>
      <c r="B117" s="3" t="s">
        <v>240</v>
      </c>
      <c r="C117" s="3" t="s">
        <v>272</v>
      </c>
      <c r="D117" s="106" t="s">
        <v>273</v>
      </c>
      <c r="E117" s="107"/>
      <c r="F117" s="3" t="s">
        <v>72</v>
      </c>
      <c r="G117" s="35">
        <v>20.331900000000001</v>
      </c>
      <c r="H117" s="35"/>
      <c r="I117" s="36" t="s">
        <v>63</v>
      </c>
      <c r="J117" s="35">
        <f>G117*AO117</f>
        <v>0</v>
      </c>
      <c r="K117" s="35">
        <f>G117*AP117</f>
        <v>0</v>
      </c>
      <c r="L117" s="35">
        <f>G117*H117</f>
        <v>0</v>
      </c>
      <c r="M117" s="35">
        <f>L117*(1+BW117/100)</f>
        <v>0</v>
      </c>
      <c r="N117" s="35">
        <v>0</v>
      </c>
      <c r="O117" s="35">
        <f>G117*N117</f>
        <v>0</v>
      </c>
      <c r="P117" s="37" t="s">
        <v>64</v>
      </c>
      <c r="Z117" s="35">
        <f>IF(AQ117="5",BJ117,0)</f>
        <v>0</v>
      </c>
      <c r="AB117" s="35">
        <f>IF(AQ117="1",BH117,0)</f>
        <v>0</v>
      </c>
      <c r="AC117" s="35">
        <f>IF(AQ117="1",BI117,0)</f>
        <v>0</v>
      </c>
      <c r="AD117" s="35">
        <f>IF(AQ117="7",BH117,0)</f>
        <v>0</v>
      </c>
      <c r="AE117" s="35">
        <f>IF(AQ117="7",BI117,0)</f>
        <v>0</v>
      </c>
      <c r="AF117" s="35">
        <f>IF(AQ117="2",BH117,0)</f>
        <v>0</v>
      </c>
      <c r="AG117" s="35">
        <f>IF(AQ117="2",BI117,0)</f>
        <v>0</v>
      </c>
      <c r="AH117" s="35">
        <f>IF(AQ117="0",BJ117,0)</f>
        <v>0</v>
      </c>
      <c r="AI117" s="12" t="s">
        <v>240</v>
      </c>
      <c r="AJ117" s="35">
        <f>IF(AN117=0,L117,0)</f>
        <v>0</v>
      </c>
      <c r="AK117" s="35">
        <f>IF(AN117=12,L117,0)</f>
        <v>0</v>
      </c>
      <c r="AL117" s="35">
        <f>IF(AN117=21,L117,0)</f>
        <v>0</v>
      </c>
      <c r="AN117" s="35">
        <v>21</v>
      </c>
      <c r="AO117" s="35">
        <f>H117*0.06819858</f>
        <v>0</v>
      </c>
      <c r="AP117" s="35">
        <f>H117*(1-0.06819858)</f>
        <v>0</v>
      </c>
      <c r="AQ117" s="36" t="s">
        <v>59</v>
      </c>
      <c r="AV117" s="35">
        <f>AW117+AX117</f>
        <v>0</v>
      </c>
      <c r="AW117" s="35">
        <f>G117*AO117</f>
        <v>0</v>
      </c>
      <c r="AX117" s="35">
        <f>G117*AP117</f>
        <v>0</v>
      </c>
      <c r="AY117" s="36" t="s">
        <v>274</v>
      </c>
      <c r="AZ117" s="36" t="s">
        <v>247</v>
      </c>
      <c r="BA117" s="12" t="s">
        <v>248</v>
      </c>
      <c r="BC117" s="35">
        <f>AW117+AX117</f>
        <v>0</v>
      </c>
      <c r="BD117" s="35">
        <f>H117/(100-BE117)*100</f>
        <v>0</v>
      </c>
      <c r="BE117" s="35">
        <v>0</v>
      </c>
      <c r="BF117" s="35">
        <f>O117</f>
        <v>0</v>
      </c>
      <c r="BH117" s="35">
        <f>G117*AO117</f>
        <v>0</v>
      </c>
      <c r="BI117" s="35">
        <f>G117*AP117</f>
        <v>0</v>
      </c>
      <c r="BJ117" s="35">
        <f>G117*H117</f>
        <v>0</v>
      </c>
      <c r="BK117" s="35"/>
      <c r="BL117" s="35">
        <v>18</v>
      </c>
      <c r="BW117" s="35" t="str">
        <f>I117</f>
        <v>21</v>
      </c>
      <c r="BX117" s="4" t="s">
        <v>273</v>
      </c>
    </row>
    <row r="118" spans="1:76" x14ac:dyDescent="0.25">
      <c r="A118" s="38"/>
      <c r="D118" s="39" t="s">
        <v>275</v>
      </c>
      <c r="E118" s="39" t="s">
        <v>54</v>
      </c>
      <c r="G118" s="40">
        <v>20.331900000000001</v>
      </c>
      <c r="P118" s="41"/>
    </row>
    <row r="119" spans="1:76" x14ac:dyDescent="0.25">
      <c r="A119" s="2" t="s">
        <v>276</v>
      </c>
      <c r="B119" s="3" t="s">
        <v>240</v>
      </c>
      <c r="C119" s="3" t="s">
        <v>277</v>
      </c>
      <c r="D119" s="106" t="s">
        <v>278</v>
      </c>
      <c r="E119" s="107"/>
      <c r="F119" s="3" t="s">
        <v>279</v>
      </c>
      <c r="G119" s="35">
        <v>5</v>
      </c>
      <c r="H119" s="35"/>
      <c r="I119" s="36" t="s">
        <v>63</v>
      </c>
      <c r="J119" s="35">
        <f>G119*AO119</f>
        <v>0</v>
      </c>
      <c r="K119" s="35">
        <f>G119*AP119</f>
        <v>0</v>
      </c>
      <c r="L119" s="35">
        <f>G119*H119</f>
        <v>0</v>
      </c>
      <c r="M119" s="35">
        <f>L119*(1+BW119/100)</f>
        <v>0</v>
      </c>
      <c r="N119" s="35">
        <v>1E-3</v>
      </c>
      <c r="O119" s="35">
        <f>G119*N119</f>
        <v>5.0000000000000001E-3</v>
      </c>
      <c r="P119" s="37" t="s">
        <v>219</v>
      </c>
      <c r="Z119" s="35">
        <f>IF(AQ119="5",BJ119,0)</f>
        <v>0</v>
      </c>
      <c r="AB119" s="35">
        <f>IF(AQ119="1",BH119,0)</f>
        <v>0</v>
      </c>
      <c r="AC119" s="35">
        <f>IF(AQ119="1",BI119,0)</f>
        <v>0</v>
      </c>
      <c r="AD119" s="35">
        <f>IF(AQ119="7",BH119,0)</f>
        <v>0</v>
      </c>
      <c r="AE119" s="35">
        <f>IF(AQ119="7",BI119,0)</f>
        <v>0</v>
      </c>
      <c r="AF119" s="35">
        <f>IF(AQ119="2",BH119,0)</f>
        <v>0</v>
      </c>
      <c r="AG119" s="35">
        <f>IF(AQ119="2",BI119,0)</f>
        <v>0</v>
      </c>
      <c r="AH119" s="35">
        <f>IF(AQ119="0",BJ119,0)</f>
        <v>0</v>
      </c>
      <c r="AI119" s="12" t="s">
        <v>240</v>
      </c>
      <c r="AJ119" s="35">
        <f>IF(AN119=0,L119,0)</f>
        <v>0</v>
      </c>
      <c r="AK119" s="35">
        <f>IF(AN119=12,L119,0)</f>
        <v>0</v>
      </c>
      <c r="AL119" s="35">
        <f>IF(AN119=21,L119,0)</f>
        <v>0</v>
      </c>
      <c r="AN119" s="35">
        <v>21</v>
      </c>
      <c r="AO119" s="35">
        <f>H119*1</f>
        <v>0</v>
      </c>
      <c r="AP119" s="35">
        <f>H119*(1-1)</f>
        <v>0</v>
      </c>
      <c r="AQ119" s="36" t="s">
        <v>59</v>
      </c>
      <c r="AV119" s="35">
        <f>AW119+AX119</f>
        <v>0</v>
      </c>
      <c r="AW119" s="35">
        <f>G119*AO119</f>
        <v>0</v>
      </c>
      <c r="AX119" s="35">
        <f>G119*AP119</f>
        <v>0</v>
      </c>
      <c r="AY119" s="36" t="s">
        <v>274</v>
      </c>
      <c r="AZ119" s="36" t="s">
        <v>247</v>
      </c>
      <c r="BA119" s="12" t="s">
        <v>248</v>
      </c>
      <c r="BC119" s="35">
        <f>AW119+AX119</f>
        <v>0</v>
      </c>
      <c r="BD119" s="35">
        <f>H119/(100-BE119)*100</f>
        <v>0</v>
      </c>
      <c r="BE119" s="35">
        <v>0</v>
      </c>
      <c r="BF119" s="35">
        <f>O119</f>
        <v>5.0000000000000001E-3</v>
      </c>
      <c r="BH119" s="35">
        <f>G119*AO119</f>
        <v>0</v>
      </c>
      <c r="BI119" s="35">
        <f>G119*AP119</f>
        <v>0</v>
      </c>
      <c r="BJ119" s="35">
        <f>G119*H119</f>
        <v>0</v>
      </c>
      <c r="BK119" s="35"/>
      <c r="BL119" s="35">
        <v>18</v>
      </c>
      <c r="BW119" s="35" t="str">
        <f>I119</f>
        <v>21</v>
      </c>
      <c r="BX119" s="4" t="s">
        <v>278</v>
      </c>
    </row>
    <row r="120" spans="1:76" x14ac:dyDescent="0.25">
      <c r="A120" s="38"/>
      <c r="D120" s="39" t="s">
        <v>88</v>
      </c>
      <c r="E120" s="39" t="s">
        <v>54</v>
      </c>
      <c r="G120" s="40">
        <v>5</v>
      </c>
      <c r="P120" s="41"/>
    </row>
    <row r="121" spans="1:76" x14ac:dyDescent="0.25">
      <c r="A121" s="2" t="s">
        <v>97</v>
      </c>
      <c r="B121" s="3" t="s">
        <v>240</v>
      </c>
      <c r="C121" s="3" t="s">
        <v>280</v>
      </c>
      <c r="D121" s="106" t="s">
        <v>281</v>
      </c>
      <c r="E121" s="107"/>
      <c r="F121" s="3" t="s">
        <v>72</v>
      </c>
      <c r="G121" s="35">
        <v>20.331900000000001</v>
      </c>
      <c r="H121" s="35"/>
      <c r="I121" s="36" t="s">
        <v>63</v>
      </c>
      <c r="J121" s="35">
        <f>G121*AO121</f>
        <v>0</v>
      </c>
      <c r="K121" s="35">
        <f>G121*AP121</f>
        <v>0</v>
      </c>
      <c r="L121" s="35">
        <f>G121*H121</f>
        <v>0</v>
      </c>
      <c r="M121" s="35">
        <f>L121*(1+BW121/100)</f>
        <v>0</v>
      </c>
      <c r="N121" s="35">
        <v>0</v>
      </c>
      <c r="O121" s="35">
        <f>G121*N121</f>
        <v>0</v>
      </c>
      <c r="P121" s="37" t="s">
        <v>64</v>
      </c>
      <c r="Z121" s="35">
        <f>IF(AQ121="5",BJ121,0)</f>
        <v>0</v>
      </c>
      <c r="AB121" s="35">
        <f>IF(AQ121="1",BH121,0)</f>
        <v>0</v>
      </c>
      <c r="AC121" s="35">
        <f>IF(AQ121="1",BI121,0)</f>
        <v>0</v>
      </c>
      <c r="AD121" s="35">
        <f>IF(AQ121="7",BH121,0)</f>
        <v>0</v>
      </c>
      <c r="AE121" s="35">
        <f>IF(AQ121="7",BI121,0)</f>
        <v>0</v>
      </c>
      <c r="AF121" s="35">
        <f>IF(AQ121="2",BH121,0)</f>
        <v>0</v>
      </c>
      <c r="AG121" s="35">
        <f>IF(AQ121="2",BI121,0)</f>
        <v>0</v>
      </c>
      <c r="AH121" s="35">
        <f>IF(AQ121="0",BJ121,0)</f>
        <v>0</v>
      </c>
      <c r="AI121" s="12" t="s">
        <v>240</v>
      </c>
      <c r="AJ121" s="35">
        <f>IF(AN121=0,L121,0)</f>
        <v>0</v>
      </c>
      <c r="AK121" s="35">
        <f>IF(AN121=12,L121,0)</f>
        <v>0</v>
      </c>
      <c r="AL121" s="35">
        <f>IF(AN121=21,L121,0)</f>
        <v>0</v>
      </c>
      <c r="AN121" s="35">
        <v>21</v>
      </c>
      <c r="AO121" s="35">
        <f>H121*0</f>
        <v>0</v>
      </c>
      <c r="AP121" s="35">
        <f>H121*(1-0)</f>
        <v>0</v>
      </c>
      <c r="AQ121" s="36" t="s">
        <v>59</v>
      </c>
      <c r="AV121" s="35">
        <f>AW121+AX121</f>
        <v>0</v>
      </c>
      <c r="AW121" s="35">
        <f>G121*AO121</f>
        <v>0</v>
      </c>
      <c r="AX121" s="35">
        <f>G121*AP121</f>
        <v>0</v>
      </c>
      <c r="AY121" s="36" t="s">
        <v>274</v>
      </c>
      <c r="AZ121" s="36" t="s">
        <v>247</v>
      </c>
      <c r="BA121" s="12" t="s">
        <v>248</v>
      </c>
      <c r="BC121" s="35">
        <f>AW121+AX121</f>
        <v>0</v>
      </c>
      <c r="BD121" s="35">
        <f>H121/(100-BE121)*100</f>
        <v>0</v>
      </c>
      <c r="BE121" s="35">
        <v>0</v>
      </c>
      <c r="BF121" s="35">
        <f>O121</f>
        <v>0</v>
      </c>
      <c r="BH121" s="35">
        <f>G121*AO121</f>
        <v>0</v>
      </c>
      <c r="BI121" s="35">
        <f>G121*AP121</f>
        <v>0</v>
      </c>
      <c r="BJ121" s="35">
        <f>G121*H121</f>
        <v>0</v>
      </c>
      <c r="BK121" s="35"/>
      <c r="BL121" s="35">
        <v>18</v>
      </c>
      <c r="BW121" s="35" t="str">
        <f>I121</f>
        <v>21</v>
      </c>
      <c r="BX121" s="4" t="s">
        <v>281</v>
      </c>
    </row>
    <row r="122" spans="1:76" x14ac:dyDescent="0.25">
      <c r="A122" s="38"/>
      <c r="D122" s="39" t="s">
        <v>275</v>
      </c>
      <c r="E122" s="39" t="s">
        <v>54</v>
      </c>
      <c r="G122" s="40">
        <v>20.331900000000001</v>
      </c>
      <c r="P122" s="41"/>
    </row>
    <row r="123" spans="1:76" x14ac:dyDescent="0.25">
      <c r="A123" s="31" t="s">
        <v>54</v>
      </c>
      <c r="B123" s="32" t="s">
        <v>240</v>
      </c>
      <c r="C123" s="32" t="s">
        <v>63</v>
      </c>
      <c r="D123" s="164" t="s">
        <v>282</v>
      </c>
      <c r="E123" s="165"/>
      <c r="F123" s="33" t="s">
        <v>3</v>
      </c>
      <c r="G123" s="33" t="s">
        <v>3</v>
      </c>
      <c r="H123" s="33"/>
      <c r="I123" s="33" t="s">
        <v>3</v>
      </c>
      <c r="J123" s="1">
        <f>SUM(J124:J124)</f>
        <v>0</v>
      </c>
      <c r="K123" s="1">
        <f>SUM(K124:K124)</f>
        <v>0</v>
      </c>
      <c r="L123" s="1">
        <f>SUM(L124:L124)</f>
        <v>0</v>
      </c>
      <c r="M123" s="1">
        <f>SUM(M124:M124)</f>
        <v>0</v>
      </c>
      <c r="N123" s="12" t="s">
        <v>54</v>
      </c>
      <c r="O123" s="1">
        <f>SUM(O124:O124)</f>
        <v>0</v>
      </c>
      <c r="P123" s="34" t="s">
        <v>54</v>
      </c>
      <c r="AI123" s="12" t="s">
        <v>240</v>
      </c>
      <c r="AS123" s="1">
        <f>SUM(AJ124:AJ124)</f>
        <v>0</v>
      </c>
      <c r="AT123" s="1">
        <f>SUM(AK124:AK124)</f>
        <v>0</v>
      </c>
      <c r="AU123" s="1">
        <f>SUM(AL124:AL124)</f>
        <v>0</v>
      </c>
    </row>
    <row r="124" spans="1:76" x14ac:dyDescent="0.25">
      <c r="A124" s="2" t="s">
        <v>283</v>
      </c>
      <c r="B124" s="3" t="s">
        <v>240</v>
      </c>
      <c r="C124" s="3" t="s">
        <v>284</v>
      </c>
      <c r="D124" s="106" t="s">
        <v>285</v>
      </c>
      <c r="E124" s="107"/>
      <c r="F124" s="3" t="s">
        <v>72</v>
      </c>
      <c r="G124" s="35">
        <v>650</v>
      </c>
      <c r="H124" s="35"/>
      <c r="I124" s="36" t="s">
        <v>63</v>
      </c>
      <c r="J124" s="35">
        <f>G124*AO124</f>
        <v>0</v>
      </c>
      <c r="K124" s="35">
        <f>G124*AP124</f>
        <v>0</v>
      </c>
      <c r="L124" s="35">
        <f>G124*H124</f>
        <v>0</v>
      </c>
      <c r="M124" s="35">
        <f>L124*(1+BW124/100)</f>
        <v>0</v>
      </c>
      <c r="N124" s="35">
        <v>0</v>
      </c>
      <c r="O124" s="35">
        <f>G124*N124</f>
        <v>0</v>
      </c>
      <c r="P124" s="37" t="s">
        <v>64</v>
      </c>
      <c r="Z124" s="35">
        <f>IF(AQ124="5",BJ124,0)</f>
        <v>0</v>
      </c>
      <c r="AB124" s="35">
        <f>IF(AQ124="1",BH124,0)</f>
        <v>0</v>
      </c>
      <c r="AC124" s="35">
        <f>IF(AQ124="1",BI124,0)</f>
        <v>0</v>
      </c>
      <c r="AD124" s="35">
        <f>IF(AQ124="7",BH124,0)</f>
        <v>0</v>
      </c>
      <c r="AE124" s="35">
        <f>IF(AQ124="7",BI124,0)</f>
        <v>0</v>
      </c>
      <c r="AF124" s="35">
        <f>IF(AQ124="2",BH124,0)</f>
        <v>0</v>
      </c>
      <c r="AG124" s="35">
        <f>IF(AQ124="2",BI124,0)</f>
        <v>0</v>
      </c>
      <c r="AH124" s="35">
        <f>IF(AQ124="0",BJ124,0)</f>
        <v>0</v>
      </c>
      <c r="AI124" s="12" t="s">
        <v>240</v>
      </c>
      <c r="AJ124" s="35">
        <f>IF(AN124=0,L124,0)</f>
        <v>0</v>
      </c>
      <c r="AK124" s="35">
        <f>IF(AN124=12,L124,0)</f>
        <v>0</v>
      </c>
      <c r="AL124" s="35">
        <f>IF(AN124=21,L124,0)</f>
        <v>0</v>
      </c>
      <c r="AN124" s="35">
        <v>21</v>
      </c>
      <c r="AO124" s="35">
        <f>H124*0</f>
        <v>0</v>
      </c>
      <c r="AP124" s="35">
        <f>H124*(1-0)</f>
        <v>0</v>
      </c>
      <c r="AQ124" s="36" t="s">
        <v>59</v>
      </c>
      <c r="AV124" s="35">
        <f>AW124+AX124</f>
        <v>0</v>
      </c>
      <c r="AW124" s="35">
        <f>G124*AO124</f>
        <v>0</v>
      </c>
      <c r="AX124" s="35">
        <f>G124*AP124</f>
        <v>0</v>
      </c>
      <c r="AY124" s="36" t="s">
        <v>286</v>
      </c>
      <c r="AZ124" s="36" t="s">
        <v>287</v>
      </c>
      <c r="BA124" s="12" t="s">
        <v>248</v>
      </c>
      <c r="BC124" s="35">
        <f>AW124+AX124</f>
        <v>0</v>
      </c>
      <c r="BD124" s="35">
        <f>H124/(100-BE124)*100</f>
        <v>0</v>
      </c>
      <c r="BE124" s="35">
        <v>0</v>
      </c>
      <c r="BF124" s="35">
        <f>O124</f>
        <v>0</v>
      </c>
      <c r="BH124" s="35">
        <f>G124*AO124</f>
        <v>0</v>
      </c>
      <c r="BI124" s="35">
        <f>G124*AP124</f>
        <v>0</v>
      </c>
      <c r="BJ124" s="35">
        <f>G124*H124</f>
        <v>0</v>
      </c>
      <c r="BK124" s="35"/>
      <c r="BL124" s="35">
        <v>21</v>
      </c>
      <c r="BW124" s="35" t="str">
        <f>I124</f>
        <v>21</v>
      </c>
      <c r="BX124" s="4" t="s">
        <v>285</v>
      </c>
    </row>
    <row r="125" spans="1:76" x14ac:dyDescent="0.25">
      <c r="A125" s="38"/>
      <c r="D125" s="39" t="s">
        <v>288</v>
      </c>
      <c r="E125" s="39" t="s">
        <v>289</v>
      </c>
      <c r="G125" s="40">
        <v>650</v>
      </c>
      <c r="P125" s="41"/>
    </row>
    <row r="126" spans="1:76" x14ac:dyDescent="0.25">
      <c r="A126" s="31" t="s">
        <v>54</v>
      </c>
      <c r="B126" s="32" t="s">
        <v>240</v>
      </c>
      <c r="C126" s="32" t="s">
        <v>243</v>
      </c>
      <c r="D126" s="164" t="s">
        <v>290</v>
      </c>
      <c r="E126" s="165"/>
      <c r="F126" s="33" t="s">
        <v>3</v>
      </c>
      <c r="G126" s="33" t="s">
        <v>3</v>
      </c>
      <c r="H126" s="33"/>
      <c r="I126" s="33" t="s">
        <v>3</v>
      </c>
      <c r="J126" s="1">
        <f>SUM(J127:J127)</f>
        <v>0</v>
      </c>
      <c r="K126" s="1">
        <f>SUM(K127:K127)</f>
        <v>0</v>
      </c>
      <c r="L126" s="1">
        <f>SUM(L127:L127)</f>
        <v>0</v>
      </c>
      <c r="M126" s="1">
        <f>SUM(M127:M127)</f>
        <v>0</v>
      </c>
      <c r="N126" s="12" t="s">
        <v>54</v>
      </c>
      <c r="O126" s="1">
        <f>SUM(O127:O127)</f>
        <v>0.02</v>
      </c>
      <c r="P126" s="34" t="s">
        <v>54</v>
      </c>
      <c r="AI126" s="12" t="s">
        <v>240</v>
      </c>
      <c r="AS126" s="1">
        <f>SUM(AJ127:AJ127)</f>
        <v>0</v>
      </c>
      <c r="AT126" s="1">
        <f>SUM(AK127:AK127)</f>
        <v>0</v>
      </c>
      <c r="AU126" s="1">
        <f>SUM(AL127:AL127)</f>
        <v>0</v>
      </c>
    </row>
    <row r="127" spans="1:76" x14ac:dyDescent="0.25">
      <c r="A127" s="2" t="s">
        <v>291</v>
      </c>
      <c r="B127" s="3" t="s">
        <v>240</v>
      </c>
      <c r="C127" s="3" t="s">
        <v>292</v>
      </c>
      <c r="D127" s="106" t="s">
        <v>293</v>
      </c>
      <c r="E127" s="107"/>
      <c r="F127" s="3" t="s">
        <v>72</v>
      </c>
      <c r="G127" s="35">
        <v>40</v>
      </c>
      <c r="H127" s="35"/>
      <c r="I127" s="36" t="s">
        <v>63</v>
      </c>
      <c r="J127" s="35">
        <f>G127*AO127</f>
        <v>0</v>
      </c>
      <c r="K127" s="35">
        <f>G127*AP127</f>
        <v>0</v>
      </c>
      <c r="L127" s="35">
        <f>G127*H127</f>
        <v>0</v>
      </c>
      <c r="M127" s="35">
        <f>L127*(1+BW127/100)</f>
        <v>0</v>
      </c>
      <c r="N127" s="35">
        <v>5.0000000000000001E-4</v>
      </c>
      <c r="O127" s="35">
        <f>G127*N127</f>
        <v>0.02</v>
      </c>
      <c r="P127" s="37" t="s">
        <v>64</v>
      </c>
      <c r="Z127" s="35">
        <f>IF(AQ127="5",BJ127,0)</f>
        <v>0</v>
      </c>
      <c r="AB127" s="35">
        <f>IF(AQ127="1",BH127,0)</f>
        <v>0</v>
      </c>
      <c r="AC127" s="35">
        <f>IF(AQ127="1",BI127,0)</f>
        <v>0</v>
      </c>
      <c r="AD127" s="35">
        <f>IF(AQ127="7",BH127,0)</f>
        <v>0</v>
      </c>
      <c r="AE127" s="35">
        <f>IF(AQ127="7",BI127,0)</f>
        <v>0</v>
      </c>
      <c r="AF127" s="35">
        <f>IF(AQ127="2",BH127,0)</f>
        <v>0</v>
      </c>
      <c r="AG127" s="35">
        <f>IF(AQ127="2",BI127,0)</f>
        <v>0</v>
      </c>
      <c r="AH127" s="35">
        <f>IF(AQ127="0",BJ127,0)</f>
        <v>0</v>
      </c>
      <c r="AI127" s="12" t="s">
        <v>240</v>
      </c>
      <c r="AJ127" s="35">
        <f>IF(AN127=0,L127,0)</f>
        <v>0</v>
      </c>
      <c r="AK127" s="35">
        <f>IF(AN127=12,L127,0)</f>
        <v>0</v>
      </c>
      <c r="AL127" s="35">
        <f>IF(AN127=21,L127,0)</f>
        <v>0</v>
      </c>
      <c r="AN127" s="35">
        <v>21</v>
      </c>
      <c r="AO127" s="35">
        <f>H127*0.264315068</f>
        <v>0</v>
      </c>
      <c r="AP127" s="35">
        <f>H127*(1-0.264315068)</f>
        <v>0</v>
      </c>
      <c r="AQ127" s="36" t="s">
        <v>59</v>
      </c>
      <c r="AV127" s="35">
        <f>AW127+AX127</f>
        <v>0</v>
      </c>
      <c r="AW127" s="35">
        <f>G127*AO127</f>
        <v>0</v>
      </c>
      <c r="AX127" s="35">
        <f>G127*AP127</f>
        <v>0</v>
      </c>
      <c r="AY127" s="36" t="s">
        <v>294</v>
      </c>
      <c r="AZ127" s="36" t="s">
        <v>287</v>
      </c>
      <c r="BA127" s="12" t="s">
        <v>248</v>
      </c>
      <c r="BC127" s="35">
        <f>AW127+AX127</f>
        <v>0</v>
      </c>
      <c r="BD127" s="35">
        <f>H127/(100-BE127)*100</f>
        <v>0</v>
      </c>
      <c r="BE127" s="35">
        <v>0</v>
      </c>
      <c r="BF127" s="35">
        <f>O127</f>
        <v>0.02</v>
      </c>
      <c r="BH127" s="35">
        <f>G127*AO127</f>
        <v>0</v>
      </c>
      <c r="BI127" s="35">
        <f>G127*AP127</f>
        <v>0</v>
      </c>
      <c r="BJ127" s="35">
        <f>G127*H127</f>
        <v>0</v>
      </c>
      <c r="BK127" s="35"/>
      <c r="BL127" s="35">
        <v>28</v>
      </c>
      <c r="BW127" s="35" t="str">
        <f>I127</f>
        <v>21</v>
      </c>
      <c r="BX127" s="4" t="s">
        <v>293</v>
      </c>
    </row>
    <row r="128" spans="1:76" x14ac:dyDescent="0.25">
      <c r="A128" s="38"/>
      <c r="D128" s="39" t="s">
        <v>295</v>
      </c>
      <c r="E128" s="39" t="s">
        <v>264</v>
      </c>
      <c r="G128" s="40">
        <v>40</v>
      </c>
      <c r="P128" s="41"/>
    </row>
    <row r="129" spans="1:76" x14ac:dyDescent="0.25">
      <c r="A129" s="31" t="s">
        <v>54</v>
      </c>
      <c r="B129" s="32" t="s">
        <v>240</v>
      </c>
      <c r="C129" s="32" t="s">
        <v>296</v>
      </c>
      <c r="D129" s="164" t="s">
        <v>297</v>
      </c>
      <c r="E129" s="165"/>
      <c r="F129" s="33" t="s">
        <v>3</v>
      </c>
      <c r="G129" s="33" t="s">
        <v>3</v>
      </c>
      <c r="H129" s="33"/>
      <c r="I129" s="33" t="s">
        <v>3</v>
      </c>
      <c r="J129" s="1">
        <f>SUM(J130:J156)</f>
        <v>0</v>
      </c>
      <c r="K129" s="1">
        <f>SUM(K130:K156)</f>
        <v>0</v>
      </c>
      <c r="L129" s="1">
        <f>SUM(L130:L156)</f>
        <v>0</v>
      </c>
      <c r="M129" s="1">
        <f>SUM(M130:M156)</f>
        <v>0</v>
      </c>
      <c r="N129" s="12" t="s">
        <v>54</v>
      </c>
      <c r="O129" s="1">
        <f>SUM(O130:O156)</f>
        <v>419.25216625000002</v>
      </c>
      <c r="P129" s="34" t="s">
        <v>54</v>
      </c>
      <c r="AI129" s="12" t="s">
        <v>240</v>
      </c>
      <c r="AS129" s="1">
        <f>SUM(AJ130:AJ156)</f>
        <v>0</v>
      </c>
      <c r="AT129" s="1">
        <f>SUM(AK130:AK156)</f>
        <v>0</v>
      </c>
      <c r="AU129" s="1">
        <f>SUM(AL130:AL156)</f>
        <v>0</v>
      </c>
    </row>
    <row r="130" spans="1:76" x14ac:dyDescent="0.25">
      <c r="A130" s="2" t="s">
        <v>298</v>
      </c>
      <c r="B130" s="3" t="s">
        <v>240</v>
      </c>
      <c r="C130" s="3" t="s">
        <v>299</v>
      </c>
      <c r="D130" s="106" t="s">
        <v>300</v>
      </c>
      <c r="E130" s="107"/>
      <c r="F130" s="3" t="s">
        <v>72</v>
      </c>
      <c r="G130" s="35">
        <v>536.08000000000004</v>
      </c>
      <c r="H130" s="35"/>
      <c r="I130" s="36" t="s">
        <v>63</v>
      </c>
      <c r="J130" s="35">
        <f>G130*AO130</f>
        <v>0</v>
      </c>
      <c r="K130" s="35">
        <f>G130*AP130</f>
        <v>0</v>
      </c>
      <c r="L130" s="35">
        <f>G130*H130</f>
        <v>0</v>
      </c>
      <c r="M130" s="35">
        <f>L130*(1+BW130/100)</f>
        <v>0</v>
      </c>
      <c r="N130" s="35">
        <v>0.30360999999999999</v>
      </c>
      <c r="O130" s="35">
        <f>G130*N130</f>
        <v>162.75924879999999</v>
      </c>
      <c r="P130" s="37" t="s">
        <v>64</v>
      </c>
      <c r="Z130" s="35">
        <f>IF(AQ130="5",BJ130,0)</f>
        <v>0</v>
      </c>
      <c r="AB130" s="35">
        <f>IF(AQ130="1",BH130,0)</f>
        <v>0</v>
      </c>
      <c r="AC130" s="35">
        <f>IF(AQ130="1",BI130,0)</f>
        <v>0</v>
      </c>
      <c r="AD130" s="35">
        <f>IF(AQ130="7",BH130,0)</f>
        <v>0</v>
      </c>
      <c r="AE130" s="35">
        <f>IF(AQ130="7",BI130,0)</f>
        <v>0</v>
      </c>
      <c r="AF130" s="35">
        <f>IF(AQ130="2",BH130,0)</f>
        <v>0</v>
      </c>
      <c r="AG130" s="35">
        <f>IF(AQ130="2",BI130,0)</f>
        <v>0</v>
      </c>
      <c r="AH130" s="35">
        <f>IF(AQ130="0",BJ130,0)</f>
        <v>0</v>
      </c>
      <c r="AI130" s="12" t="s">
        <v>240</v>
      </c>
      <c r="AJ130" s="35">
        <f>IF(AN130=0,L130,0)</f>
        <v>0</v>
      </c>
      <c r="AK130" s="35">
        <f>IF(AN130=12,L130,0)</f>
        <v>0</v>
      </c>
      <c r="AL130" s="35">
        <f>IF(AN130=21,L130,0)</f>
        <v>0</v>
      </c>
      <c r="AN130" s="35">
        <v>21</v>
      </c>
      <c r="AO130" s="35">
        <f>H130*0.862407407</f>
        <v>0</v>
      </c>
      <c r="AP130" s="35">
        <f>H130*(1-0.862407407)</f>
        <v>0</v>
      </c>
      <c r="AQ130" s="36" t="s">
        <v>59</v>
      </c>
      <c r="AV130" s="35">
        <f>AW130+AX130</f>
        <v>0</v>
      </c>
      <c r="AW130" s="35">
        <f>G130*AO130</f>
        <v>0</v>
      </c>
      <c r="AX130" s="35">
        <f>G130*AP130</f>
        <v>0</v>
      </c>
      <c r="AY130" s="36" t="s">
        <v>301</v>
      </c>
      <c r="AZ130" s="36" t="s">
        <v>302</v>
      </c>
      <c r="BA130" s="12" t="s">
        <v>248</v>
      </c>
      <c r="BC130" s="35">
        <f>AW130+AX130</f>
        <v>0</v>
      </c>
      <c r="BD130" s="35">
        <f>H130/(100-BE130)*100</f>
        <v>0</v>
      </c>
      <c r="BE130" s="35">
        <v>0</v>
      </c>
      <c r="BF130" s="35">
        <f>O130</f>
        <v>162.75924879999999</v>
      </c>
      <c r="BH130" s="35">
        <f>G130*AO130</f>
        <v>0</v>
      </c>
      <c r="BI130" s="35">
        <f>G130*AP130</f>
        <v>0</v>
      </c>
      <c r="BJ130" s="35">
        <f>G130*H130</f>
        <v>0</v>
      </c>
      <c r="BK130" s="35"/>
      <c r="BL130" s="35">
        <v>56</v>
      </c>
      <c r="BW130" s="35" t="str">
        <f>I130</f>
        <v>21</v>
      </c>
      <c r="BX130" s="4" t="s">
        <v>300</v>
      </c>
    </row>
    <row r="131" spans="1:76" x14ac:dyDescent="0.25">
      <c r="A131" s="38"/>
      <c r="D131" s="39" t="s">
        <v>54</v>
      </c>
      <c r="E131" s="39" t="s">
        <v>303</v>
      </c>
      <c r="G131" s="40">
        <v>0</v>
      </c>
      <c r="P131" s="41"/>
    </row>
    <row r="132" spans="1:76" x14ac:dyDescent="0.25">
      <c r="A132" s="38"/>
      <c r="D132" s="39" t="s">
        <v>304</v>
      </c>
      <c r="E132" s="39" t="s">
        <v>251</v>
      </c>
      <c r="G132" s="40">
        <v>259.08</v>
      </c>
      <c r="P132" s="41"/>
    </row>
    <row r="133" spans="1:76" x14ac:dyDescent="0.25">
      <c r="A133" s="38"/>
      <c r="D133" s="39" t="s">
        <v>305</v>
      </c>
      <c r="E133" s="39" t="s">
        <v>253</v>
      </c>
      <c r="G133" s="40">
        <v>176</v>
      </c>
      <c r="P133" s="41"/>
    </row>
    <row r="134" spans="1:76" x14ac:dyDescent="0.25">
      <c r="A134" s="38"/>
      <c r="D134" s="39" t="s">
        <v>306</v>
      </c>
      <c r="E134" s="39" t="s">
        <v>255</v>
      </c>
      <c r="G134" s="40">
        <v>101</v>
      </c>
      <c r="P134" s="41"/>
    </row>
    <row r="135" spans="1:76" x14ac:dyDescent="0.25">
      <c r="A135" s="2" t="s">
        <v>307</v>
      </c>
      <c r="B135" s="3" t="s">
        <v>240</v>
      </c>
      <c r="C135" s="3" t="s">
        <v>308</v>
      </c>
      <c r="D135" s="106" t="s">
        <v>309</v>
      </c>
      <c r="E135" s="107"/>
      <c r="F135" s="3" t="s">
        <v>72</v>
      </c>
      <c r="G135" s="35">
        <v>536.08000000000004</v>
      </c>
      <c r="H135" s="35"/>
      <c r="I135" s="36" t="s">
        <v>63</v>
      </c>
      <c r="J135" s="35">
        <f>G135*AO135</f>
        <v>0</v>
      </c>
      <c r="K135" s="35">
        <f>G135*AP135</f>
        <v>0</v>
      </c>
      <c r="L135" s="35">
        <f>G135*H135</f>
        <v>0</v>
      </c>
      <c r="M135" s="35">
        <f>L135*(1+BW135/100)</f>
        <v>0</v>
      </c>
      <c r="N135" s="35">
        <v>0.26375999999999999</v>
      </c>
      <c r="O135" s="35">
        <f>G135*N135</f>
        <v>141.3964608</v>
      </c>
      <c r="P135" s="37" t="s">
        <v>64</v>
      </c>
      <c r="Z135" s="35">
        <f>IF(AQ135="5",BJ135,0)</f>
        <v>0</v>
      </c>
      <c r="AB135" s="35">
        <f>IF(AQ135="1",BH135,0)</f>
        <v>0</v>
      </c>
      <c r="AC135" s="35">
        <f>IF(AQ135="1",BI135,0)</f>
        <v>0</v>
      </c>
      <c r="AD135" s="35">
        <f>IF(AQ135="7",BH135,0)</f>
        <v>0</v>
      </c>
      <c r="AE135" s="35">
        <f>IF(AQ135="7",BI135,0)</f>
        <v>0</v>
      </c>
      <c r="AF135" s="35">
        <f>IF(AQ135="2",BH135,0)</f>
        <v>0</v>
      </c>
      <c r="AG135" s="35">
        <f>IF(AQ135="2",BI135,0)</f>
        <v>0</v>
      </c>
      <c r="AH135" s="35">
        <f>IF(AQ135="0",BJ135,0)</f>
        <v>0</v>
      </c>
      <c r="AI135" s="12" t="s">
        <v>240</v>
      </c>
      <c r="AJ135" s="35">
        <f>IF(AN135=0,L135,0)</f>
        <v>0</v>
      </c>
      <c r="AK135" s="35">
        <f>IF(AN135=12,L135,0)</f>
        <v>0</v>
      </c>
      <c r="AL135" s="35">
        <f>IF(AN135=21,L135,0)</f>
        <v>0</v>
      </c>
      <c r="AN135" s="35">
        <v>21</v>
      </c>
      <c r="AO135" s="35">
        <f>H135*0.84042735</f>
        <v>0</v>
      </c>
      <c r="AP135" s="35">
        <f>H135*(1-0.84042735)</f>
        <v>0</v>
      </c>
      <c r="AQ135" s="36" t="s">
        <v>59</v>
      </c>
      <c r="AV135" s="35">
        <f>AW135+AX135</f>
        <v>0</v>
      </c>
      <c r="AW135" s="35">
        <f>G135*AO135</f>
        <v>0</v>
      </c>
      <c r="AX135" s="35">
        <f>G135*AP135</f>
        <v>0</v>
      </c>
      <c r="AY135" s="36" t="s">
        <v>301</v>
      </c>
      <c r="AZ135" s="36" t="s">
        <v>302</v>
      </c>
      <c r="BA135" s="12" t="s">
        <v>248</v>
      </c>
      <c r="BC135" s="35">
        <f>AW135+AX135</f>
        <v>0</v>
      </c>
      <c r="BD135" s="35">
        <f>H135/(100-BE135)*100</f>
        <v>0</v>
      </c>
      <c r="BE135" s="35">
        <v>0</v>
      </c>
      <c r="BF135" s="35">
        <f>O135</f>
        <v>141.3964608</v>
      </c>
      <c r="BH135" s="35">
        <f>G135*AO135</f>
        <v>0</v>
      </c>
      <c r="BI135" s="35">
        <f>G135*AP135</f>
        <v>0</v>
      </c>
      <c r="BJ135" s="35">
        <f>G135*H135</f>
        <v>0</v>
      </c>
      <c r="BK135" s="35"/>
      <c r="BL135" s="35">
        <v>56</v>
      </c>
      <c r="BW135" s="35" t="str">
        <f>I135</f>
        <v>21</v>
      </c>
      <c r="BX135" s="4" t="s">
        <v>309</v>
      </c>
    </row>
    <row r="136" spans="1:76" x14ac:dyDescent="0.25">
      <c r="A136" s="38"/>
      <c r="D136" s="39" t="s">
        <v>54</v>
      </c>
      <c r="E136" s="39" t="s">
        <v>303</v>
      </c>
      <c r="G136" s="40">
        <v>0</v>
      </c>
      <c r="P136" s="41"/>
    </row>
    <row r="137" spans="1:76" x14ac:dyDescent="0.25">
      <c r="A137" s="38"/>
      <c r="D137" s="39" t="s">
        <v>304</v>
      </c>
      <c r="E137" s="39" t="s">
        <v>251</v>
      </c>
      <c r="G137" s="40">
        <v>259.08</v>
      </c>
      <c r="P137" s="41"/>
    </row>
    <row r="138" spans="1:76" x14ac:dyDescent="0.25">
      <c r="A138" s="38"/>
      <c r="D138" s="39" t="s">
        <v>305</v>
      </c>
      <c r="E138" s="39" t="s">
        <v>253</v>
      </c>
      <c r="G138" s="40">
        <v>176</v>
      </c>
      <c r="P138" s="41"/>
    </row>
    <row r="139" spans="1:76" x14ac:dyDescent="0.25">
      <c r="A139" s="38"/>
      <c r="D139" s="39" t="s">
        <v>306</v>
      </c>
      <c r="E139" s="39" t="s">
        <v>255</v>
      </c>
      <c r="G139" s="40">
        <v>101</v>
      </c>
      <c r="P139" s="41"/>
    </row>
    <row r="140" spans="1:76" ht="25.5" x14ac:dyDescent="0.25">
      <c r="A140" s="2" t="s">
        <v>310</v>
      </c>
      <c r="B140" s="3" t="s">
        <v>240</v>
      </c>
      <c r="C140" s="3" t="s">
        <v>311</v>
      </c>
      <c r="D140" s="106" t="s">
        <v>312</v>
      </c>
      <c r="E140" s="107"/>
      <c r="F140" s="3" t="s">
        <v>72</v>
      </c>
      <c r="G140" s="35">
        <v>536.08000000000004</v>
      </c>
      <c r="H140" s="35"/>
      <c r="I140" s="36" t="s">
        <v>63</v>
      </c>
      <c r="J140" s="35">
        <f>G140*AO140</f>
        <v>0</v>
      </c>
      <c r="K140" s="35">
        <f>G140*AP140</f>
        <v>0</v>
      </c>
      <c r="L140" s="35">
        <f>G140*H140</f>
        <v>0</v>
      </c>
      <c r="M140" s="35">
        <f>L140*(1+BW140/100)</f>
        <v>0</v>
      </c>
      <c r="N140" s="35">
        <v>0.13188</v>
      </c>
      <c r="O140" s="35">
        <f>G140*N140</f>
        <v>70.6982304</v>
      </c>
      <c r="P140" s="37" t="s">
        <v>219</v>
      </c>
      <c r="Z140" s="35">
        <f>IF(AQ140="5",BJ140,0)</f>
        <v>0</v>
      </c>
      <c r="AB140" s="35">
        <f>IF(AQ140="1",BH140,0)</f>
        <v>0</v>
      </c>
      <c r="AC140" s="35">
        <f>IF(AQ140="1",BI140,0)</f>
        <v>0</v>
      </c>
      <c r="AD140" s="35">
        <f>IF(AQ140="7",BH140,0)</f>
        <v>0</v>
      </c>
      <c r="AE140" s="35">
        <f>IF(AQ140="7",BI140,0)</f>
        <v>0</v>
      </c>
      <c r="AF140" s="35">
        <f>IF(AQ140="2",BH140,0)</f>
        <v>0</v>
      </c>
      <c r="AG140" s="35">
        <f>IF(AQ140="2",BI140,0)</f>
        <v>0</v>
      </c>
      <c r="AH140" s="35">
        <f>IF(AQ140="0",BJ140,0)</f>
        <v>0</v>
      </c>
      <c r="AI140" s="12" t="s">
        <v>240</v>
      </c>
      <c r="AJ140" s="35">
        <f>IF(AN140=0,L140,0)</f>
        <v>0</v>
      </c>
      <c r="AK140" s="35">
        <f>IF(AN140=12,L140,0)</f>
        <v>0</v>
      </c>
      <c r="AL140" s="35">
        <f>IF(AN140=21,L140,0)</f>
        <v>0</v>
      </c>
      <c r="AN140" s="35">
        <v>21</v>
      </c>
      <c r="AO140" s="35">
        <f>H140*0.78244898</f>
        <v>0</v>
      </c>
      <c r="AP140" s="35">
        <f>H140*(1-0.78244898)</f>
        <v>0</v>
      </c>
      <c r="AQ140" s="36" t="s">
        <v>59</v>
      </c>
      <c r="AV140" s="35">
        <f>AW140+AX140</f>
        <v>0</v>
      </c>
      <c r="AW140" s="35">
        <f>G140*AO140</f>
        <v>0</v>
      </c>
      <c r="AX140" s="35">
        <f>G140*AP140</f>
        <v>0</v>
      </c>
      <c r="AY140" s="36" t="s">
        <v>301</v>
      </c>
      <c r="AZ140" s="36" t="s">
        <v>302</v>
      </c>
      <c r="BA140" s="12" t="s">
        <v>248</v>
      </c>
      <c r="BC140" s="35">
        <f>AW140+AX140</f>
        <v>0</v>
      </c>
      <c r="BD140" s="35">
        <f>H140/(100-BE140)*100</f>
        <v>0</v>
      </c>
      <c r="BE140" s="35">
        <v>0</v>
      </c>
      <c r="BF140" s="35">
        <f>O140</f>
        <v>70.6982304</v>
      </c>
      <c r="BH140" s="35">
        <f>G140*AO140</f>
        <v>0</v>
      </c>
      <c r="BI140" s="35">
        <f>G140*AP140</f>
        <v>0</v>
      </c>
      <c r="BJ140" s="35">
        <f>G140*H140</f>
        <v>0</v>
      </c>
      <c r="BK140" s="35"/>
      <c r="BL140" s="35">
        <v>56</v>
      </c>
      <c r="BW140" s="35" t="str">
        <f>I140</f>
        <v>21</v>
      </c>
      <c r="BX140" s="4" t="s">
        <v>312</v>
      </c>
    </row>
    <row r="141" spans="1:76" x14ac:dyDescent="0.25">
      <c r="A141" s="38"/>
      <c r="D141" s="39" t="s">
        <v>54</v>
      </c>
      <c r="E141" s="39" t="s">
        <v>303</v>
      </c>
      <c r="G141" s="40">
        <v>0</v>
      </c>
      <c r="P141" s="41"/>
    </row>
    <row r="142" spans="1:76" x14ac:dyDescent="0.25">
      <c r="A142" s="38"/>
      <c r="D142" s="39" t="s">
        <v>304</v>
      </c>
      <c r="E142" s="39" t="s">
        <v>251</v>
      </c>
      <c r="G142" s="40">
        <v>259.08</v>
      </c>
      <c r="P142" s="41"/>
    </row>
    <row r="143" spans="1:76" x14ac:dyDescent="0.25">
      <c r="A143" s="38"/>
      <c r="D143" s="39" t="s">
        <v>305</v>
      </c>
      <c r="E143" s="39" t="s">
        <v>253</v>
      </c>
      <c r="G143" s="40">
        <v>176</v>
      </c>
      <c r="P143" s="41"/>
    </row>
    <row r="144" spans="1:76" x14ac:dyDescent="0.25">
      <c r="A144" s="38"/>
      <c r="D144" s="39" t="s">
        <v>306</v>
      </c>
      <c r="E144" s="39" t="s">
        <v>255</v>
      </c>
      <c r="G144" s="40">
        <v>101</v>
      </c>
      <c r="P144" s="41"/>
    </row>
    <row r="145" spans="1:76" x14ac:dyDescent="0.25">
      <c r="A145" s="2" t="s">
        <v>313</v>
      </c>
      <c r="B145" s="3" t="s">
        <v>240</v>
      </c>
      <c r="C145" s="3" t="s">
        <v>314</v>
      </c>
      <c r="D145" s="106" t="s">
        <v>315</v>
      </c>
      <c r="E145" s="107"/>
      <c r="F145" s="3" t="s">
        <v>72</v>
      </c>
      <c r="G145" s="35">
        <v>646.80525</v>
      </c>
      <c r="H145" s="35"/>
      <c r="I145" s="36" t="s">
        <v>63</v>
      </c>
      <c r="J145" s="35">
        <f>G145*AO145</f>
        <v>0</v>
      </c>
      <c r="K145" s="35">
        <f>G145*AP145</f>
        <v>0</v>
      </c>
      <c r="L145" s="35">
        <f>G145*H145</f>
        <v>0</v>
      </c>
      <c r="M145" s="35">
        <f>L145*(1+BW145/100)</f>
        <v>0</v>
      </c>
      <c r="N145" s="35">
        <v>0</v>
      </c>
      <c r="O145" s="35">
        <f>G145*N145</f>
        <v>0</v>
      </c>
      <c r="P145" s="37" t="s">
        <v>64</v>
      </c>
      <c r="Z145" s="35">
        <f>IF(AQ145="5",BJ145,0)</f>
        <v>0</v>
      </c>
      <c r="AB145" s="35">
        <f>IF(AQ145="1",BH145,0)</f>
        <v>0</v>
      </c>
      <c r="AC145" s="35">
        <f>IF(AQ145="1",BI145,0)</f>
        <v>0</v>
      </c>
      <c r="AD145" s="35">
        <f>IF(AQ145="7",BH145,0)</f>
        <v>0</v>
      </c>
      <c r="AE145" s="35">
        <f>IF(AQ145="7",BI145,0)</f>
        <v>0</v>
      </c>
      <c r="AF145" s="35">
        <f>IF(AQ145="2",BH145,0)</f>
        <v>0</v>
      </c>
      <c r="AG145" s="35">
        <f>IF(AQ145="2",BI145,0)</f>
        <v>0</v>
      </c>
      <c r="AH145" s="35">
        <f>IF(AQ145="0",BJ145,0)</f>
        <v>0</v>
      </c>
      <c r="AI145" s="12" t="s">
        <v>240</v>
      </c>
      <c r="AJ145" s="35">
        <f>IF(AN145=0,L145,0)</f>
        <v>0</v>
      </c>
      <c r="AK145" s="35">
        <f>IF(AN145=12,L145,0)</f>
        <v>0</v>
      </c>
      <c r="AL145" s="35">
        <f>IF(AN145=21,L145,0)</f>
        <v>0</v>
      </c>
      <c r="AN145" s="35">
        <v>21</v>
      </c>
      <c r="AO145" s="35">
        <f>H145*0</f>
        <v>0</v>
      </c>
      <c r="AP145" s="35">
        <f>H145*(1-0)</f>
        <v>0</v>
      </c>
      <c r="AQ145" s="36" t="s">
        <v>59</v>
      </c>
      <c r="AV145" s="35">
        <f>AW145+AX145</f>
        <v>0</v>
      </c>
      <c r="AW145" s="35">
        <f>G145*AO145</f>
        <v>0</v>
      </c>
      <c r="AX145" s="35">
        <f>G145*AP145</f>
        <v>0</v>
      </c>
      <c r="AY145" s="36" t="s">
        <v>301</v>
      </c>
      <c r="AZ145" s="36" t="s">
        <v>302</v>
      </c>
      <c r="BA145" s="12" t="s">
        <v>248</v>
      </c>
      <c r="BC145" s="35">
        <f>AW145+AX145</f>
        <v>0</v>
      </c>
      <c r="BD145" s="35">
        <f>H145/(100-BE145)*100</f>
        <v>0</v>
      </c>
      <c r="BE145" s="35">
        <v>0</v>
      </c>
      <c r="BF145" s="35">
        <f>O145</f>
        <v>0</v>
      </c>
      <c r="BH145" s="35">
        <f>G145*AO145</f>
        <v>0</v>
      </c>
      <c r="BI145" s="35">
        <f>G145*AP145</f>
        <v>0</v>
      </c>
      <c r="BJ145" s="35">
        <f>G145*H145</f>
        <v>0</v>
      </c>
      <c r="BK145" s="35"/>
      <c r="BL145" s="35">
        <v>56</v>
      </c>
      <c r="BW145" s="35" t="str">
        <f>I145</f>
        <v>21</v>
      </c>
      <c r="BX145" s="4" t="s">
        <v>315</v>
      </c>
    </row>
    <row r="146" spans="1:76" x14ac:dyDescent="0.25">
      <c r="A146" s="38"/>
      <c r="D146" s="39" t="s">
        <v>54</v>
      </c>
      <c r="E146" s="39" t="s">
        <v>303</v>
      </c>
      <c r="G146" s="40">
        <v>0</v>
      </c>
      <c r="P146" s="41"/>
    </row>
    <row r="147" spans="1:76" x14ac:dyDescent="0.25">
      <c r="A147" s="38"/>
      <c r="D147" s="39" t="s">
        <v>304</v>
      </c>
      <c r="E147" s="39" t="s">
        <v>251</v>
      </c>
      <c r="G147" s="40">
        <v>259.08</v>
      </c>
      <c r="P147" s="41"/>
    </row>
    <row r="148" spans="1:76" x14ac:dyDescent="0.25">
      <c r="A148" s="38"/>
      <c r="D148" s="39" t="s">
        <v>305</v>
      </c>
      <c r="E148" s="39" t="s">
        <v>253</v>
      </c>
      <c r="G148" s="40">
        <v>176</v>
      </c>
      <c r="P148" s="41"/>
    </row>
    <row r="149" spans="1:76" x14ac:dyDescent="0.25">
      <c r="A149" s="38"/>
      <c r="D149" s="39" t="s">
        <v>306</v>
      </c>
      <c r="E149" s="39" t="s">
        <v>255</v>
      </c>
      <c r="G149" s="40">
        <v>101</v>
      </c>
      <c r="P149" s="41"/>
    </row>
    <row r="150" spans="1:76" x14ac:dyDescent="0.25">
      <c r="A150" s="38"/>
      <c r="D150" s="39" t="s">
        <v>316</v>
      </c>
      <c r="E150" s="39" t="s">
        <v>98</v>
      </c>
      <c r="G150" s="40">
        <v>20.925000000000001</v>
      </c>
      <c r="P150" s="41"/>
    </row>
    <row r="151" spans="1:76" x14ac:dyDescent="0.25">
      <c r="A151" s="38"/>
      <c r="D151" s="39" t="s">
        <v>317</v>
      </c>
      <c r="E151" s="39" t="s">
        <v>318</v>
      </c>
      <c r="G151" s="40">
        <v>59</v>
      </c>
      <c r="P151" s="41"/>
    </row>
    <row r="152" spans="1:76" x14ac:dyDescent="0.25">
      <c r="A152" s="38"/>
      <c r="D152" s="39" t="s">
        <v>319</v>
      </c>
      <c r="E152" s="39" t="s">
        <v>54</v>
      </c>
      <c r="G152" s="40">
        <v>30.800249999999998</v>
      </c>
      <c r="P152" s="41"/>
    </row>
    <row r="153" spans="1:76" x14ac:dyDescent="0.25">
      <c r="A153" s="2" t="s">
        <v>320</v>
      </c>
      <c r="B153" s="3" t="s">
        <v>240</v>
      </c>
      <c r="C153" s="3" t="s">
        <v>321</v>
      </c>
      <c r="D153" s="106" t="s">
        <v>322</v>
      </c>
      <c r="E153" s="107"/>
      <c r="F153" s="3" t="s">
        <v>72</v>
      </c>
      <c r="G153" s="35">
        <v>679.14</v>
      </c>
      <c r="H153" s="35"/>
      <c r="I153" s="36" t="s">
        <v>63</v>
      </c>
      <c r="J153" s="35">
        <f>G153*AO153</f>
        <v>0</v>
      </c>
      <c r="K153" s="35">
        <f>G153*AP153</f>
        <v>0</v>
      </c>
      <c r="L153" s="35">
        <f>G153*H153</f>
        <v>0</v>
      </c>
      <c r="M153" s="35">
        <f>L153*(1+BW153/100)</f>
        <v>0</v>
      </c>
      <c r="N153" s="35">
        <v>5.0000000000000001E-4</v>
      </c>
      <c r="O153" s="35">
        <f>G153*N153</f>
        <v>0.33956999999999998</v>
      </c>
      <c r="P153" s="37" t="s">
        <v>219</v>
      </c>
      <c r="Z153" s="35">
        <f>IF(AQ153="5",BJ153,0)</f>
        <v>0</v>
      </c>
      <c r="AB153" s="35">
        <f>IF(AQ153="1",BH153,0)</f>
        <v>0</v>
      </c>
      <c r="AC153" s="35">
        <f>IF(AQ153="1",BI153,0)</f>
        <v>0</v>
      </c>
      <c r="AD153" s="35">
        <f>IF(AQ153="7",BH153,0)</f>
        <v>0</v>
      </c>
      <c r="AE153" s="35">
        <f>IF(AQ153="7",BI153,0)</f>
        <v>0</v>
      </c>
      <c r="AF153" s="35">
        <f>IF(AQ153="2",BH153,0)</f>
        <v>0</v>
      </c>
      <c r="AG153" s="35">
        <f>IF(AQ153="2",BI153,0)</f>
        <v>0</v>
      </c>
      <c r="AH153" s="35">
        <f>IF(AQ153="0",BJ153,0)</f>
        <v>0</v>
      </c>
      <c r="AI153" s="12" t="s">
        <v>240</v>
      </c>
      <c r="AJ153" s="35">
        <f>IF(AN153=0,L153,0)</f>
        <v>0</v>
      </c>
      <c r="AK153" s="35">
        <f>IF(AN153=12,L153,0)</f>
        <v>0</v>
      </c>
      <c r="AL153" s="35">
        <f>IF(AN153=21,L153,0)</f>
        <v>0</v>
      </c>
      <c r="AN153" s="35">
        <v>21</v>
      </c>
      <c r="AO153" s="35">
        <f>H153*1</f>
        <v>0</v>
      </c>
      <c r="AP153" s="35">
        <f>H153*(1-1)</f>
        <v>0</v>
      </c>
      <c r="AQ153" s="36" t="s">
        <v>59</v>
      </c>
      <c r="AV153" s="35">
        <f>AW153+AX153</f>
        <v>0</v>
      </c>
      <c r="AW153" s="35">
        <f>G153*AO153</f>
        <v>0</v>
      </c>
      <c r="AX153" s="35">
        <f>G153*AP153</f>
        <v>0</v>
      </c>
      <c r="AY153" s="36" t="s">
        <v>301</v>
      </c>
      <c r="AZ153" s="36" t="s">
        <v>302</v>
      </c>
      <c r="BA153" s="12" t="s">
        <v>248</v>
      </c>
      <c r="BC153" s="35">
        <f>AW153+AX153</f>
        <v>0</v>
      </c>
      <c r="BD153" s="35">
        <f>H153/(100-BE153)*100</f>
        <v>0</v>
      </c>
      <c r="BE153" s="35">
        <v>0</v>
      </c>
      <c r="BF153" s="35">
        <f>O153</f>
        <v>0.33956999999999998</v>
      </c>
      <c r="BH153" s="35">
        <f>G153*AO153</f>
        <v>0</v>
      </c>
      <c r="BI153" s="35">
        <f>G153*AP153</f>
        <v>0</v>
      </c>
      <c r="BJ153" s="35">
        <f>G153*H153</f>
        <v>0</v>
      </c>
      <c r="BK153" s="35"/>
      <c r="BL153" s="35">
        <v>56</v>
      </c>
      <c r="BW153" s="35" t="str">
        <f>I153</f>
        <v>21</v>
      </c>
      <c r="BX153" s="4" t="s">
        <v>322</v>
      </c>
    </row>
    <row r="154" spans="1:76" x14ac:dyDescent="0.25">
      <c r="A154" s="38"/>
      <c r="D154" s="39" t="s">
        <v>323</v>
      </c>
      <c r="E154" s="39" t="s">
        <v>54</v>
      </c>
      <c r="G154" s="40">
        <v>646.79999999999995</v>
      </c>
      <c r="P154" s="41"/>
    </row>
    <row r="155" spans="1:76" x14ac:dyDescent="0.25">
      <c r="A155" s="38"/>
      <c r="D155" s="39" t="s">
        <v>324</v>
      </c>
      <c r="E155" s="39" t="s">
        <v>54</v>
      </c>
      <c r="G155" s="40">
        <v>32.340000000000003</v>
      </c>
      <c r="P155" s="41"/>
    </row>
    <row r="156" spans="1:76" ht="25.5" x14ac:dyDescent="0.25">
      <c r="A156" s="2" t="s">
        <v>325</v>
      </c>
      <c r="B156" s="3" t="s">
        <v>240</v>
      </c>
      <c r="C156" s="3" t="s">
        <v>326</v>
      </c>
      <c r="D156" s="106" t="s">
        <v>327</v>
      </c>
      <c r="E156" s="107"/>
      <c r="F156" s="3" t="s">
        <v>72</v>
      </c>
      <c r="G156" s="35">
        <v>79.924999999999997</v>
      </c>
      <c r="H156" s="35"/>
      <c r="I156" s="36" t="s">
        <v>63</v>
      </c>
      <c r="J156" s="35">
        <f>G156*AO156</f>
        <v>0</v>
      </c>
      <c r="K156" s="35">
        <f>G156*AP156</f>
        <v>0</v>
      </c>
      <c r="L156" s="35">
        <f>G156*H156</f>
        <v>0</v>
      </c>
      <c r="M156" s="35">
        <f>L156*(1+BW156/100)</f>
        <v>0</v>
      </c>
      <c r="N156" s="35">
        <v>0.55125000000000002</v>
      </c>
      <c r="O156" s="35">
        <f>G156*N156</f>
        <v>44.058656249999999</v>
      </c>
      <c r="P156" s="37" t="s">
        <v>64</v>
      </c>
      <c r="Z156" s="35">
        <f>IF(AQ156="5",BJ156,0)</f>
        <v>0</v>
      </c>
      <c r="AB156" s="35">
        <f>IF(AQ156="1",BH156,0)</f>
        <v>0</v>
      </c>
      <c r="AC156" s="35">
        <f>IF(AQ156="1",BI156,0)</f>
        <v>0</v>
      </c>
      <c r="AD156" s="35">
        <f>IF(AQ156="7",BH156,0)</f>
        <v>0</v>
      </c>
      <c r="AE156" s="35">
        <f>IF(AQ156="7",BI156,0)</f>
        <v>0</v>
      </c>
      <c r="AF156" s="35">
        <f>IF(AQ156="2",BH156,0)</f>
        <v>0</v>
      </c>
      <c r="AG156" s="35">
        <f>IF(AQ156="2",BI156,0)</f>
        <v>0</v>
      </c>
      <c r="AH156" s="35">
        <f>IF(AQ156="0",BJ156,0)</f>
        <v>0</v>
      </c>
      <c r="AI156" s="12" t="s">
        <v>240</v>
      </c>
      <c r="AJ156" s="35">
        <f>IF(AN156=0,L156,0)</f>
        <v>0</v>
      </c>
      <c r="AK156" s="35">
        <f>IF(AN156=12,L156,0)</f>
        <v>0</v>
      </c>
      <c r="AL156" s="35">
        <f>IF(AN156=21,L156,0)</f>
        <v>0</v>
      </c>
      <c r="AN156" s="35">
        <v>21</v>
      </c>
      <c r="AO156" s="35">
        <f>H156*0.859894366</f>
        <v>0</v>
      </c>
      <c r="AP156" s="35">
        <f>H156*(1-0.859894366)</f>
        <v>0</v>
      </c>
      <c r="AQ156" s="36" t="s">
        <v>59</v>
      </c>
      <c r="AV156" s="35">
        <f>AW156+AX156</f>
        <v>0</v>
      </c>
      <c r="AW156" s="35">
        <f>G156*AO156</f>
        <v>0</v>
      </c>
      <c r="AX156" s="35">
        <f>G156*AP156</f>
        <v>0</v>
      </c>
      <c r="AY156" s="36" t="s">
        <v>301</v>
      </c>
      <c r="AZ156" s="36" t="s">
        <v>302</v>
      </c>
      <c r="BA156" s="12" t="s">
        <v>248</v>
      </c>
      <c r="BC156" s="35">
        <f>AW156+AX156</f>
        <v>0</v>
      </c>
      <c r="BD156" s="35">
        <f>H156/(100-BE156)*100</f>
        <v>0</v>
      </c>
      <c r="BE156" s="35">
        <v>0</v>
      </c>
      <c r="BF156" s="35">
        <f>O156</f>
        <v>44.058656249999999</v>
      </c>
      <c r="BH156" s="35">
        <f>G156*AO156</f>
        <v>0</v>
      </c>
      <c r="BI156" s="35">
        <f>G156*AP156</f>
        <v>0</v>
      </c>
      <c r="BJ156" s="35">
        <f>G156*H156</f>
        <v>0</v>
      </c>
      <c r="BK156" s="35"/>
      <c r="BL156" s="35">
        <v>56</v>
      </c>
      <c r="BW156" s="35" t="str">
        <f>I156</f>
        <v>21</v>
      </c>
      <c r="BX156" s="4" t="s">
        <v>327</v>
      </c>
    </row>
    <row r="157" spans="1:76" x14ac:dyDescent="0.25">
      <c r="A157" s="38"/>
      <c r="D157" s="39" t="s">
        <v>316</v>
      </c>
      <c r="E157" s="39" t="s">
        <v>98</v>
      </c>
      <c r="G157" s="40">
        <v>20.925000000000001</v>
      </c>
      <c r="P157" s="41"/>
    </row>
    <row r="158" spans="1:76" x14ac:dyDescent="0.25">
      <c r="A158" s="38"/>
      <c r="D158" s="39" t="s">
        <v>317</v>
      </c>
      <c r="E158" s="39" t="s">
        <v>318</v>
      </c>
      <c r="G158" s="40">
        <v>59</v>
      </c>
      <c r="P158" s="41"/>
    </row>
    <row r="159" spans="1:76" x14ac:dyDescent="0.25">
      <c r="A159" s="31" t="s">
        <v>54</v>
      </c>
      <c r="B159" s="32" t="s">
        <v>240</v>
      </c>
      <c r="C159" s="32" t="s">
        <v>328</v>
      </c>
      <c r="D159" s="164" t="s">
        <v>329</v>
      </c>
      <c r="E159" s="165"/>
      <c r="F159" s="33" t="s">
        <v>3</v>
      </c>
      <c r="G159" s="33" t="s">
        <v>3</v>
      </c>
      <c r="H159" s="33"/>
      <c r="I159" s="33" t="s">
        <v>3</v>
      </c>
      <c r="J159" s="1">
        <f>SUM(J160:J166)</f>
        <v>0</v>
      </c>
      <c r="K159" s="1">
        <f>SUM(K160:K166)</f>
        <v>0</v>
      </c>
      <c r="L159" s="1">
        <f>SUM(L160:L166)</f>
        <v>0</v>
      </c>
      <c r="M159" s="1">
        <f>SUM(M160:M166)</f>
        <v>0</v>
      </c>
      <c r="N159" s="12" t="s">
        <v>54</v>
      </c>
      <c r="O159" s="1">
        <f>SUM(O160:O166)</f>
        <v>83.515903199999997</v>
      </c>
      <c r="P159" s="34" t="s">
        <v>54</v>
      </c>
      <c r="AI159" s="12" t="s">
        <v>240</v>
      </c>
      <c r="AS159" s="1">
        <f>SUM(AJ160:AJ166)</f>
        <v>0</v>
      </c>
      <c r="AT159" s="1">
        <f>SUM(AK160:AK166)</f>
        <v>0</v>
      </c>
      <c r="AU159" s="1">
        <f>SUM(AL160:AL166)</f>
        <v>0</v>
      </c>
    </row>
    <row r="160" spans="1:76" x14ac:dyDescent="0.25">
      <c r="A160" s="2" t="s">
        <v>330</v>
      </c>
      <c r="B160" s="3" t="s">
        <v>240</v>
      </c>
      <c r="C160" s="3" t="s">
        <v>331</v>
      </c>
      <c r="D160" s="106" t="s">
        <v>332</v>
      </c>
      <c r="E160" s="107"/>
      <c r="F160" s="3" t="s">
        <v>72</v>
      </c>
      <c r="G160" s="35">
        <v>536.08000000000004</v>
      </c>
      <c r="H160" s="35"/>
      <c r="I160" s="36" t="s">
        <v>63</v>
      </c>
      <c r="J160" s="35">
        <f>G160*AO160</f>
        <v>0</v>
      </c>
      <c r="K160" s="35">
        <f>G160*AP160</f>
        <v>0</v>
      </c>
      <c r="L160" s="35">
        <f>G160*H160</f>
        <v>0</v>
      </c>
      <c r="M160" s="35">
        <f>L160*(1+BW160/100)</f>
        <v>0</v>
      </c>
      <c r="N160" s="35">
        <v>1E-4</v>
      </c>
      <c r="O160" s="35">
        <f>G160*N160</f>
        <v>5.360800000000001E-2</v>
      </c>
      <c r="P160" s="37" t="s">
        <v>219</v>
      </c>
      <c r="Z160" s="35">
        <f>IF(AQ160="5",BJ160,0)</f>
        <v>0</v>
      </c>
      <c r="AB160" s="35">
        <f>IF(AQ160="1",BH160,0)</f>
        <v>0</v>
      </c>
      <c r="AC160" s="35">
        <f>IF(AQ160="1",BI160,0)</f>
        <v>0</v>
      </c>
      <c r="AD160" s="35">
        <f>IF(AQ160="7",BH160,0)</f>
        <v>0</v>
      </c>
      <c r="AE160" s="35">
        <f>IF(AQ160="7",BI160,0)</f>
        <v>0</v>
      </c>
      <c r="AF160" s="35">
        <f>IF(AQ160="2",BH160,0)</f>
        <v>0</v>
      </c>
      <c r="AG160" s="35">
        <f>IF(AQ160="2",BI160,0)</f>
        <v>0</v>
      </c>
      <c r="AH160" s="35">
        <f>IF(AQ160="0",BJ160,0)</f>
        <v>0</v>
      </c>
      <c r="AI160" s="12" t="s">
        <v>240</v>
      </c>
      <c r="AJ160" s="35">
        <f>IF(AN160=0,L160,0)</f>
        <v>0</v>
      </c>
      <c r="AK160" s="35">
        <f>IF(AN160=12,L160,0)</f>
        <v>0</v>
      </c>
      <c r="AL160" s="35">
        <f>IF(AN160=21,L160,0)</f>
        <v>0</v>
      </c>
      <c r="AN160" s="35">
        <v>21</v>
      </c>
      <c r="AO160" s="35">
        <f>H160*0.82839468</f>
        <v>0</v>
      </c>
      <c r="AP160" s="35">
        <f>H160*(1-0.82839468)</f>
        <v>0</v>
      </c>
      <c r="AQ160" s="36" t="s">
        <v>59</v>
      </c>
      <c r="AV160" s="35">
        <f>AW160+AX160</f>
        <v>0</v>
      </c>
      <c r="AW160" s="35">
        <f>G160*AO160</f>
        <v>0</v>
      </c>
      <c r="AX160" s="35">
        <f>G160*AP160</f>
        <v>0</v>
      </c>
      <c r="AY160" s="36" t="s">
        <v>333</v>
      </c>
      <c r="AZ160" s="36" t="s">
        <v>302</v>
      </c>
      <c r="BA160" s="12" t="s">
        <v>248</v>
      </c>
      <c r="BC160" s="35">
        <f>AW160+AX160</f>
        <v>0</v>
      </c>
      <c r="BD160" s="35">
        <f>H160/(100-BE160)*100</f>
        <v>0</v>
      </c>
      <c r="BE160" s="35">
        <v>0</v>
      </c>
      <c r="BF160" s="35">
        <f>O160</f>
        <v>5.360800000000001E-2</v>
      </c>
      <c r="BH160" s="35">
        <f>G160*AO160</f>
        <v>0</v>
      </c>
      <c r="BI160" s="35">
        <f>G160*AP160</f>
        <v>0</v>
      </c>
      <c r="BJ160" s="35">
        <f>G160*H160</f>
        <v>0</v>
      </c>
      <c r="BK160" s="35"/>
      <c r="BL160" s="35">
        <v>57</v>
      </c>
      <c r="BW160" s="35" t="str">
        <f>I160</f>
        <v>21</v>
      </c>
      <c r="BX160" s="4" t="s">
        <v>332</v>
      </c>
    </row>
    <row r="161" spans="1:76" x14ac:dyDescent="0.25">
      <c r="A161" s="38"/>
      <c r="D161" s="39" t="s">
        <v>54</v>
      </c>
      <c r="E161" s="39" t="s">
        <v>303</v>
      </c>
      <c r="G161" s="40">
        <v>0</v>
      </c>
      <c r="P161" s="41"/>
    </row>
    <row r="162" spans="1:76" x14ac:dyDescent="0.25">
      <c r="A162" s="38"/>
      <c r="D162" s="39" t="s">
        <v>304</v>
      </c>
      <c r="E162" s="39" t="s">
        <v>251</v>
      </c>
      <c r="G162" s="40">
        <v>259.08</v>
      </c>
      <c r="P162" s="41"/>
    </row>
    <row r="163" spans="1:76" x14ac:dyDescent="0.25">
      <c r="A163" s="38"/>
      <c r="D163" s="39" t="s">
        <v>305</v>
      </c>
      <c r="E163" s="39" t="s">
        <v>253</v>
      </c>
      <c r="G163" s="40">
        <v>176</v>
      </c>
      <c r="P163" s="41"/>
    </row>
    <row r="164" spans="1:76" x14ac:dyDescent="0.25">
      <c r="A164" s="38"/>
      <c r="D164" s="39" t="s">
        <v>306</v>
      </c>
      <c r="E164" s="39" t="s">
        <v>255</v>
      </c>
      <c r="G164" s="40">
        <v>101</v>
      </c>
      <c r="P164" s="41"/>
    </row>
    <row r="165" spans="1:76" x14ac:dyDescent="0.25">
      <c r="A165" s="2" t="s">
        <v>334</v>
      </c>
      <c r="B165" s="3" t="s">
        <v>240</v>
      </c>
      <c r="C165" s="3" t="s">
        <v>335</v>
      </c>
      <c r="D165" s="106" t="s">
        <v>336</v>
      </c>
      <c r="E165" s="107"/>
      <c r="F165" s="3" t="s">
        <v>72</v>
      </c>
      <c r="G165" s="35">
        <v>536.08000000000004</v>
      </c>
      <c r="H165" s="35"/>
      <c r="I165" s="36" t="s">
        <v>63</v>
      </c>
      <c r="J165" s="35">
        <f>G165*AO165</f>
        <v>0</v>
      </c>
      <c r="K165" s="35">
        <f>G165*AP165</f>
        <v>0</v>
      </c>
      <c r="L165" s="35">
        <f>G165*H165</f>
        <v>0</v>
      </c>
      <c r="M165" s="35">
        <f>L165*(1+BW165/100)</f>
        <v>0</v>
      </c>
      <c r="N165" s="35">
        <v>1E-4</v>
      </c>
      <c r="O165" s="35">
        <f>G165*N165</f>
        <v>5.360800000000001E-2</v>
      </c>
      <c r="P165" s="37" t="s">
        <v>219</v>
      </c>
      <c r="Z165" s="35">
        <f>IF(AQ165="5",BJ165,0)</f>
        <v>0</v>
      </c>
      <c r="AB165" s="35">
        <f>IF(AQ165="1",BH165,0)</f>
        <v>0</v>
      </c>
      <c r="AC165" s="35">
        <f>IF(AQ165="1",BI165,0)</f>
        <v>0</v>
      </c>
      <c r="AD165" s="35">
        <f>IF(AQ165="7",BH165,0)</f>
        <v>0</v>
      </c>
      <c r="AE165" s="35">
        <f>IF(AQ165="7",BI165,0)</f>
        <v>0</v>
      </c>
      <c r="AF165" s="35">
        <f>IF(AQ165="2",BH165,0)</f>
        <v>0</v>
      </c>
      <c r="AG165" s="35">
        <f>IF(AQ165="2",BI165,0)</f>
        <v>0</v>
      </c>
      <c r="AH165" s="35">
        <f>IF(AQ165="0",BJ165,0)</f>
        <v>0</v>
      </c>
      <c r="AI165" s="12" t="s">
        <v>240</v>
      </c>
      <c r="AJ165" s="35">
        <f>IF(AN165=0,L165,0)</f>
        <v>0</v>
      </c>
      <c r="AK165" s="35">
        <f>IF(AN165=12,L165,0)</f>
        <v>0</v>
      </c>
      <c r="AL165" s="35">
        <f>IF(AN165=21,L165,0)</f>
        <v>0</v>
      </c>
      <c r="AN165" s="35">
        <v>21</v>
      </c>
      <c r="AO165" s="35">
        <f>H165*0.862375919</f>
        <v>0</v>
      </c>
      <c r="AP165" s="35">
        <f>H165*(1-0.862375919)</f>
        <v>0</v>
      </c>
      <c r="AQ165" s="36" t="s">
        <v>59</v>
      </c>
      <c r="AV165" s="35">
        <f>AW165+AX165</f>
        <v>0</v>
      </c>
      <c r="AW165" s="35">
        <f>G165*AO165</f>
        <v>0</v>
      </c>
      <c r="AX165" s="35">
        <f>G165*AP165</f>
        <v>0</v>
      </c>
      <c r="AY165" s="36" t="s">
        <v>333</v>
      </c>
      <c r="AZ165" s="36" t="s">
        <v>302</v>
      </c>
      <c r="BA165" s="12" t="s">
        <v>248</v>
      </c>
      <c r="BC165" s="35">
        <f>AW165+AX165</f>
        <v>0</v>
      </c>
      <c r="BD165" s="35">
        <f>H165/(100-BE165)*100</f>
        <v>0</v>
      </c>
      <c r="BE165" s="35">
        <v>0</v>
      </c>
      <c r="BF165" s="35">
        <f>O165</f>
        <v>5.360800000000001E-2</v>
      </c>
      <c r="BH165" s="35">
        <f>G165*AO165</f>
        <v>0</v>
      </c>
      <c r="BI165" s="35">
        <f>G165*AP165</f>
        <v>0</v>
      </c>
      <c r="BJ165" s="35">
        <f>G165*H165</f>
        <v>0</v>
      </c>
      <c r="BK165" s="35"/>
      <c r="BL165" s="35">
        <v>57</v>
      </c>
      <c r="BW165" s="35" t="str">
        <f>I165</f>
        <v>21</v>
      </c>
      <c r="BX165" s="4" t="s">
        <v>336</v>
      </c>
    </row>
    <row r="166" spans="1:76" x14ac:dyDescent="0.25">
      <c r="A166" s="2" t="s">
        <v>337</v>
      </c>
      <c r="B166" s="3" t="s">
        <v>240</v>
      </c>
      <c r="C166" s="3" t="s">
        <v>338</v>
      </c>
      <c r="D166" s="106" t="s">
        <v>339</v>
      </c>
      <c r="E166" s="107"/>
      <c r="F166" s="3" t="s">
        <v>72</v>
      </c>
      <c r="G166" s="35">
        <v>536.08000000000004</v>
      </c>
      <c r="H166" s="35"/>
      <c r="I166" s="36" t="s">
        <v>63</v>
      </c>
      <c r="J166" s="35">
        <f>G166*AO166</f>
        <v>0</v>
      </c>
      <c r="K166" s="35">
        <f>G166*AP166</f>
        <v>0</v>
      </c>
      <c r="L166" s="35">
        <f>G166*H166</f>
        <v>0</v>
      </c>
      <c r="M166" s="35">
        <f>L166*(1+BW166/100)</f>
        <v>0</v>
      </c>
      <c r="N166" s="35">
        <v>0.15559000000000001</v>
      </c>
      <c r="O166" s="35">
        <f>G166*N166</f>
        <v>83.408687200000003</v>
      </c>
      <c r="P166" s="37" t="s">
        <v>64</v>
      </c>
      <c r="Z166" s="35">
        <f>IF(AQ166="5",BJ166,0)</f>
        <v>0</v>
      </c>
      <c r="AB166" s="35">
        <f>IF(AQ166="1",BH166,0)</f>
        <v>0</v>
      </c>
      <c r="AC166" s="35">
        <f>IF(AQ166="1",BI166,0)</f>
        <v>0</v>
      </c>
      <c r="AD166" s="35">
        <f>IF(AQ166="7",BH166,0)</f>
        <v>0</v>
      </c>
      <c r="AE166" s="35">
        <f>IF(AQ166="7",BI166,0)</f>
        <v>0</v>
      </c>
      <c r="AF166" s="35">
        <f>IF(AQ166="2",BH166,0)</f>
        <v>0</v>
      </c>
      <c r="AG166" s="35">
        <f>IF(AQ166="2",BI166,0)</f>
        <v>0</v>
      </c>
      <c r="AH166" s="35">
        <f>IF(AQ166="0",BJ166,0)</f>
        <v>0</v>
      </c>
      <c r="AI166" s="12" t="s">
        <v>240</v>
      </c>
      <c r="AJ166" s="35">
        <f>IF(AN166=0,L166,0)</f>
        <v>0</v>
      </c>
      <c r="AK166" s="35">
        <f>IF(AN166=12,L166,0)</f>
        <v>0</v>
      </c>
      <c r="AL166" s="35">
        <f>IF(AN166=21,L166,0)</f>
        <v>0</v>
      </c>
      <c r="AN166" s="35">
        <v>21</v>
      </c>
      <c r="AO166" s="35">
        <f>H166*0.803483992</f>
        <v>0</v>
      </c>
      <c r="AP166" s="35">
        <f>H166*(1-0.803483992)</f>
        <v>0</v>
      </c>
      <c r="AQ166" s="36" t="s">
        <v>59</v>
      </c>
      <c r="AV166" s="35">
        <f>AW166+AX166</f>
        <v>0</v>
      </c>
      <c r="AW166" s="35">
        <f>G166*AO166</f>
        <v>0</v>
      </c>
      <c r="AX166" s="35">
        <f>G166*AP166</f>
        <v>0</v>
      </c>
      <c r="AY166" s="36" t="s">
        <v>333</v>
      </c>
      <c r="AZ166" s="36" t="s">
        <v>302</v>
      </c>
      <c r="BA166" s="12" t="s">
        <v>248</v>
      </c>
      <c r="BC166" s="35">
        <f>AW166+AX166</f>
        <v>0</v>
      </c>
      <c r="BD166" s="35">
        <f>H166/(100-BE166)*100</f>
        <v>0</v>
      </c>
      <c r="BE166" s="35">
        <v>0</v>
      </c>
      <c r="BF166" s="35">
        <f>O166</f>
        <v>83.408687200000003</v>
      </c>
      <c r="BH166" s="35">
        <f>G166*AO166</f>
        <v>0</v>
      </c>
      <c r="BI166" s="35">
        <f>G166*AP166</f>
        <v>0</v>
      </c>
      <c r="BJ166" s="35">
        <f>G166*H166</f>
        <v>0</v>
      </c>
      <c r="BK166" s="35"/>
      <c r="BL166" s="35">
        <v>57</v>
      </c>
      <c r="BW166" s="35" t="str">
        <f>I166</f>
        <v>21</v>
      </c>
      <c r="BX166" s="4" t="s">
        <v>339</v>
      </c>
    </row>
    <row r="167" spans="1:76" x14ac:dyDescent="0.25">
      <c r="A167" s="38"/>
      <c r="D167" s="39" t="s">
        <v>54</v>
      </c>
      <c r="E167" s="39" t="s">
        <v>303</v>
      </c>
      <c r="G167" s="40">
        <v>0</v>
      </c>
      <c r="P167" s="41"/>
    </row>
    <row r="168" spans="1:76" x14ac:dyDescent="0.25">
      <c r="A168" s="38"/>
      <c r="D168" s="39" t="s">
        <v>304</v>
      </c>
      <c r="E168" s="39" t="s">
        <v>251</v>
      </c>
      <c r="G168" s="40">
        <v>259.08</v>
      </c>
      <c r="P168" s="41"/>
    </row>
    <row r="169" spans="1:76" x14ac:dyDescent="0.25">
      <c r="A169" s="38"/>
      <c r="D169" s="39" t="s">
        <v>305</v>
      </c>
      <c r="E169" s="39" t="s">
        <v>253</v>
      </c>
      <c r="G169" s="40">
        <v>176</v>
      </c>
      <c r="P169" s="41"/>
    </row>
    <row r="170" spans="1:76" x14ac:dyDescent="0.25">
      <c r="A170" s="38"/>
      <c r="D170" s="39" t="s">
        <v>306</v>
      </c>
      <c r="E170" s="39" t="s">
        <v>255</v>
      </c>
      <c r="G170" s="40">
        <v>101</v>
      </c>
      <c r="P170" s="41"/>
    </row>
    <row r="171" spans="1:76" x14ac:dyDescent="0.25">
      <c r="A171" s="31" t="s">
        <v>54</v>
      </c>
      <c r="B171" s="32" t="s">
        <v>240</v>
      </c>
      <c r="C171" s="32" t="s">
        <v>317</v>
      </c>
      <c r="D171" s="164" t="s">
        <v>340</v>
      </c>
      <c r="E171" s="165"/>
      <c r="F171" s="33" t="s">
        <v>3</v>
      </c>
      <c r="G171" s="33" t="s">
        <v>3</v>
      </c>
      <c r="H171" s="33"/>
      <c r="I171" s="33" t="s">
        <v>3</v>
      </c>
      <c r="J171" s="1">
        <f>SUM(J172:J189)</f>
        <v>0</v>
      </c>
      <c r="K171" s="1">
        <f>SUM(K172:K189)</f>
        <v>0</v>
      </c>
      <c r="L171" s="1">
        <f>SUM(L172:L189)</f>
        <v>0</v>
      </c>
      <c r="M171" s="1">
        <f>SUM(M172:M189)</f>
        <v>0</v>
      </c>
      <c r="N171" s="12" t="s">
        <v>54</v>
      </c>
      <c r="O171" s="1">
        <f>SUM(O172:O189)</f>
        <v>11.110174499999999</v>
      </c>
      <c r="P171" s="34" t="s">
        <v>54</v>
      </c>
      <c r="AI171" s="12" t="s">
        <v>240</v>
      </c>
      <c r="AS171" s="1">
        <f>SUM(AJ172:AJ189)</f>
        <v>0</v>
      </c>
      <c r="AT171" s="1">
        <f>SUM(AK172:AK189)</f>
        <v>0</v>
      </c>
      <c r="AU171" s="1">
        <f>SUM(AL172:AL189)</f>
        <v>0</v>
      </c>
    </row>
    <row r="172" spans="1:76" x14ac:dyDescent="0.25">
      <c r="A172" s="2" t="s">
        <v>341</v>
      </c>
      <c r="B172" s="3" t="s">
        <v>240</v>
      </c>
      <c r="C172" s="3" t="s">
        <v>342</v>
      </c>
      <c r="D172" s="106" t="s">
        <v>343</v>
      </c>
      <c r="E172" s="107"/>
      <c r="F172" s="3" t="s">
        <v>72</v>
      </c>
      <c r="G172" s="35">
        <v>20.925000000000001</v>
      </c>
      <c r="H172" s="35"/>
      <c r="I172" s="36" t="s">
        <v>63</v>
      </c>
      <c r="J172" s="35">
        <f>G172*AO172</f>
        <v>0</v>
      </c>
      <c r="K172" s="35">
        <f>G172*AP172</f>
        <v>0</v>
      </c>
      <c r="L172" s="35">
        <f>G172*H172</f>
        <v>0</v>
      </c>
      <c r="M172" s="35">
        <f>L172*(1+BW172/100)</f>
        <v>0</v>
      </c>
      <c r="N172" s="35">
        <v>7.3899999999999993E-2</v>
      </c>
      <c r="O172" s="35">
        <f>G172*N172</f>
        <v>1.5463574999999998</v>
      </c>
      <c r="P172" s="37" t="s">
        <v>64</v>
      </c>
      <c r="Z172" s="35">
        <f>IF(AQ172="5",BJ172,0)</f>
        <v>0</v>
      </c>
      <c r="AB172" s="35">
        <f>IF(AQ172="1",BH172,0)</f>
        <v>0</v>
      </c>
      <c r="AC172" s="35">
        <f>IF(AQ172="1",BI172,0)</f>
        <v>0</v>
      </c>
      <c r="AD172" s="35">
        <f>IF(AQ172="7",BH172,0)</f>
        <v>0</v>
      </c>
      <c r="AE172" s="35">
        <f>IF(AQ172="7",BI172,0)</f>
        <v>0</v>
      </c>
      <c r="AF172" s="35">
        <f>IF(AQ172="2",BH172,0)</f>
        <v>0</v>
      </c>
      <c r="AG172" s="35">
        <f>IF(AQ172="2",BI172,0)</f>
        <v>0</v>
      </c>
      <c r="AH172" s="35">
        <f>IF(AQ172="0",BJ172,0)</f>
        <v>0</v>
      </c>
      <c r="AI172" s="12" t="s">
        <v>240</v>
      </c>
      <c r="AJ172" s="35">
        <f>IF(AN172=0,L172,0)</f>
        <v>0</v>
      </c>
      <c r="AK172" s="35">
        <f>IF(AN172=12,L172,0)</f>
        <v>0</v>
      </c>
      <c r="AL172" s="35">
        <f>IF(AN172=21,L172,0)</f>
        <v>0</v>
      </c>
      <c r="AN172" s="35">
        <v>21</v>
      </c>
      <c r="AO172" s="35">
        <f>H172*0.161892229</f>
        <v>0</v>
      </c>
      <c r="AP172" s="35">
        <f>H172*(1-0.161892229)</f>
        <v>0</v>
      </c>
      <c r="AQ172" s="36" t="s">
        <v>59</v>
      </c>
      <c r="AV172" s="35">
        <f>AW172+AX172</f>
        <v>0</v>
      </c>
      <c r="AW172" s="35">
        <f>G172*AO172</f>
        <v>0</v>
      </c>
      <c r="AX172" s="35">
        <f>G172*AP172</f>
        <v>0</v>
      </c>
      <c r="AY172" s="36" t="s">
        <v>344</v>
      </c>
      <c r="AZ172" s="36" t="s">
        <v>302</v>
      </c>
      <c r="BA172" s="12" t="s">
        <v>248</v>
      </c>
      <c r="BC172" s="35">
        <f>AW172+AX172</f>
        <v>0</v>
      </c>
      <c r="BD172" s="35">
        <f>H172/(100-BE172)*100</f>
        <v>0</v>
      </c>
      <c r="BE172" s="35">
        <v>0</v>
      </c>
      <c r="BF172" s="35">
        <f>O172</f>
        <v>1.5463574999999998</v>
      </c>
      <c r="BH172" s="35">
        <f>G172*AO172</f>
        <v>0</v>
      </c>
      <c r="BI172" s="35">
        <f>G172*AP172</f>
        <v>0</v>
      </c>
      <c r="BJ172" s="35">
        <f>G172*H172</f>
        <v>0</v>
      </c>
      <c r="BK172" s="35"/>
      <c r="BL172" s="35">
        <v>59</v>
      </c>
      <c r="BW172" s="35" t="str">
        <f>I172</f>
        <v>21</v>
      </c>
      <c r="BX172" s="4" t="s">
        <v>343</v>
      </c>
    </row>
    <row r="173" spans="1:76" x14ac:dyDescent="0.25">
      <c r="A173" s="38"/>
      <c r="D173" s="39" t="s">
        <v>316</v>
      </c>
      <c r="E173" s="39" t="s">
        <v>54</v>
      </c>
      <c r="G173" s="40">
        <v>20.925000000000001</v>
      </c>
      <c r="P173" s="41"/>
    </row>
    <row r="174" spans="1:76" x14ac:dyDescent="0.25">
      <c r="A174" s="2" t="s">
        <v>345</v>
      </c>
      <c r="B174" s="3" t="s">
        <v>240</v>
      </c>
      <c r="C174" s="3" t="s">
        <v>346</v>
      </c>
      <c r="D174" s="106" t="s">
        <v>347</v>
      </c>
      <c r="E174" s="107"/>
      <c r="F174" s="3" t="s">
        <v>72</v>
      </c>
      <c r="G174" s="35">
        <v>21.547599999999999</v>
      </c>
      <c r="H174" s="35"/>
      <c r="I174" s="36" t="s">
        <v>63</v>
      </c>
      <c r="J174" s="35">
        <f>G174*AO174</f>
        <v>0</v>
      </c>
      <c r="K174" s="35">
        <f>G174*AP174</f>
        <v>0</v>
      </c>
      <c r="L174" s="35">
        <f>G174*H174</f>
        <v>0</v>
      </c>
      <c r="M174" s="35">
        <f>L174*(1+BW174/100)</f>
        <v>0</v>
      </c>
      <c r="N174" s="35">
        <v>0.188</v>
      </c>
      <c r="O174" s="35">
        <f>G174*N174</f>
        <v>4.0509487999999996</v>
      </c>
      <c r="P174" s="37" t="s">
        <v>219</v>
      </c>
      <c r="Z174" s="35">
        <f>IF(AQ174="5",BJ174,0)</f>
        <v>0</v>
      </c>
      <c r="AB174" s="35">
        <f>IF(AQ174="1",BH174,0)</f>
        <v>0</v>
      </c>
      <c r="AC174" s="35">
        <f>IF(AQ174="1",BI174,0)</f>
        <v>0</v>
      </c>
      <c r="AD174" s="35">
        <f>IF(AQ174="7",BH174,0)</f>
        <v>0</v>
      </c>
      <c r="AE174" s="35">
        <f>IF(AQ174="7",BI174,0)</f>
        <v>0</v>
      </c>
      <c r="AF174" s="35">
        <f>IF(AQ174="2",BH174,0)</f>
        <v>0</v>
      </c>
      <c r="AG174" s="35">
        <f>IF(AQ174="2",BI174,0)</f>
        <v>0</v>
      </c>
      <c r="AH174" s="35">
        <f>IF(AQ174="0",BJ174,0)</f>
        <v>0</v>
      </c>
      <c r="AI174" s="12" t="s">
        <v>240</v>
      </c>
      <c r="AJ174" s="35">
        <f>IF(AN174=0,L174,0)</f>
        <v>0</v>
      </c>
      <c r="AK174" s="35">
        <f>IF(AN174=12,L174,0)</f>
        <v>0</v>
      </c>
      <c r="AL174" s="35">
        <f>IF(AN174=21,L174,0)</f>
        <v>0</v>
      </c>
      <c r="AN174" s="35">
        <v>21</v>
      </c>
      <c r="AO174" s="35">
        <f>H174*1</f>
        <v>0</v>
      </c>
      <c r="AP174" s="35">
        <f>H174*(1-1)</f>
        <v>0</v>
      </c>
      <c r="AQ174" s="36" t="s">
        <v>59</v>
      </c>
      <c r="AV174" s="35">
        <f>AW174+AX174</f>
        <v>0</v>
      </c>
      <c r="AW174" s="35">
        <f>G174*AO174</f>
        <v>0</v>
      </c>
      <c r="AX174" s="35">
        <f>G174*AP174</f>
        <v>0</v>
      </c>
      <c r="AY174" s="36" t="s">
        <v>344</v>
      </c>
      <c r="AZ174" s="36" t="s">
        <v>302</v>
      </c>
      <c r="BA174" s="12" t="s">
        <v>248</v>
      </c>
      <c r="BC174" s="35">
        <f>AW174+AX174</f>
        <v>0</v>
      </c>
      <c r="BD174" s="35">
        <f>H174/(100-BE174)*100</f>
        <v>0</v>
      </c>
      <c r="BE174" s="35">
        <v>0</v>
      </c>
      <c r="BF174" s="35">
        <f>O174</f>
        <v>4.0509487999999996</v>
      </c>
      <c r="BH174" s="35">
        <f>G174*AO174</f>
        <v>0</v>
      </c>
      <c r="BI174" s="35">
        <f>G174*AP174</f>
        <v>0</v>
      </c>
      <c r="BJ174" s="35">
        <f>G174*H174</f>
        <v>0</v>
      </c>
      <c r="BK174" s="35"/>
      <c r="BL174" s="35">
        <v>59</v>
      </c>
      <c r="BW174" s="35" t="str">
        <f>I174</f>
        <v>21</v>
      </c>
      <c r="BX174" s="4" t="s">
        <v>347</v>
      </c>
    </row>
    <row r="175" spans="1:76" x14ac:dyDescent="0.25">
      <c r="A175" s="38"/>
      <c r="D175" s="39" t="s">
        <v>348</v>
      </c>
      <c r="E175" s="39" t="s">
        <v>54</v>
      </c>
      <c r="G175" s="40">
        <v>20.92</v>
      </c>
      <c r="P175" s="41"/>
    </row>
    <row r="176" spans="1:76" x14ac:dyDescent="0.25">
      <c r="A176" s="38"/>
      <c r="D176" s="39" t="s">
        <v>349</v>
      </c>
      <c r="E176" s="39" t="s">
        <v>54</v>
      </c>
      <c r="G176" s="40">
        <v>0.62760000000000005</v>
      </c>
      <c r="P176" s="41"/>
    </row>
    <row r="177" spans="1:76" x14ac:dyDescent="0.25">
      <c r="A177" s="2" t="s">
        <v>350</v>
      </c>
      <c r="B177" s="3" t="s">
        <v>240</v>
      </c>
      <c r="C177" s="3" t="s">
        <v>351</v>
      </c>
      <c r="D177" s="106" t="s">
        <v>352</v>
      </c>
      <c r="E177" s="107"/>
      <c r="F177" s="3" t="s">
        <v>62</v>
      </c>
      <c r="G177" s="35">
        <v>16.5</v>
      </c>
      <c r="H177" s="35"/>
      <c r="I177" s="36" t="s">
        <v>63</v>
      </c>
      <c r="J177" s="35">
        <f>G177*AO177</f>
        <v>0</v>
      </c>
      <c r="K177" s="35">
        <f>G177*AP177</f>
        <v>0</v>
      </c>
      <c r="L177" s="35">
        <f>G177*H177</f>
        <v>0</v>
      </c>
      <c r="M177" s="35">
        <f>L177*(1+BW177/100)</f>
        <v>0</v>
      </c>
      <c r="N177" s="35">
        <v>3.3E-4</v>
      </c>
      <c r="O177" s="35">
        <f>G177*N177</f>
        <v>5.4450000000000002E-3</v>
      </c>
      <c r="P177" s="37" t="s">
        <v>64</v>
      </c>
      <c r="Z177" s="35">
        <f>IF(AQ177="5",BJ177,0)</f>
        <v>0</v>
      </c>
      <c r="AB177" s="35">
        <f>IF(AQ177="1",BH177,0)</f>
        <v>0</v>
      </c>
      <c r="AC177" s="35">
        <f>IF(AQ177="1",BI177,0)</f>
        <v>0</v>
      </c>
      <c r="AD177" s="35">
        <f>IF(AQ177="7",BH177,0)</f>
        <v>0</v>
      </c>
      <c r="AE177" s="35">
        <f>IF(AQ177="7",BI177,0)</f>
        <v>0</v>
      </c>
      <c r="AF177" s="35">
        <f>IF(AQ177="2",BH177,0)</f>
        <v>0</v>
      </c>
      <c r="AG177" s="35">
        <f>IF(AQ177="2",BI177,0)</f>
        <v>0</v>
      </c>
      <c r="AH177" s="35">
        <f>IF(AQ177="0",BJ177,0)</f>
        <v>0</v>
      </c>
      <c r="AI177" s="12" t="s">
        <v>240</v>
      </c>
      <c r="AJ177" s="35">
        <f>IF(AN177=0,L177,0)</f>
        <v>0</v>
      </c>
      <c r="AK177" s="35">
        <f>IF(AN177=12,L177,0)</f>
        <v>0</v>
      </c>
      <c r="AL177" s="35">
        <f>IF(AN177=21,L177,0)</f>
        <v>0</v>
      </c>
      <c r="AN177" s="35">
        <v>21</v>
      </c>
      <c r="AO177" s="35">
        <f>H177*0.049612142</f>
        <v>0</v>
      </c>
      <c r="AP177" s="35">
        <f>H177*(1-0.049612142)</f>
        <v>0</v>
      </c>
      <c r="AQ177" s="36" t="s">
        <v>59</v>
      </c>
      <c r="AV177" s="35">
        <f>AW177+AX177</f>
        <v>0</v>
      </c>
      <c r="AW177" s="35">
        <f>G177*AO177</f>
        <v>0</v>
      </c>
      <c r="AX177" s="35">
        <f>G177*AP177</f>
        <v>0</v>
      </c>
      <c r="AY177" s="36" t="s">
        <v>344</v>
      </c>
      <c r="AZ177" s="36" t="s">
        <v>302</v>
      </c>
      <c r="BA177" s="12" t="s">
        <v>248</v>
      </c>
      <c r="BC177" s="35">
        <f>AW177+AX177</f>
        <v>0</v>
      </c>
      <c r="BD177" s="35">
        <f>H177/(100-BE177)*100</f>
        <v>0</v>
      </c>
      <c r="BE177" s="35">
        <v>0</v>
      </c>
      <c r="BF177" s="35">
        <f>O177</f>
        <v>5.4450000000000002E-3</v>
      </c>
      <c r="BH177" s="35">
        <f>G177*AO177</f>
        <v>0</v>
      </c>
      <c r="BI177" s="35">
        <f>G177*AP177</f>
        <v>0</v>
      </c>
      <c r="BJ177" s="35">
        <f>G177*H177</f>
        <v>0</v>
      </c>
      <c r="BK177" s="35"/>
      <c r="BL177" s="35">
        <v>59</v>
      </c>
      <c r="BW177" s="35" t="str">
        <f>I177</f>
        <v>21</v>
      </c>
      <c r="BX177" s="4" t="s">
        <v>352</v>
      </c>
    </row>
    <row r="178" spans="1:76" x14ac:dyDescent="0.25">
      <c r="A178" s="38"/>
      <c r="D178" s="39" t="s">
        <v>353</v>
      </c>
      <c r="E178" s="39" t="s">
        <v>54</v>
      </c>
      <c r="G178" s="40">
        <v>16.5</v>
      </c>
      <c r="P178" s="41"/>
    </row>
    <row r="179" spans="1:76" x14ac:dyDescent="0.25">
      <c r="A179" s="2" t="s">
        <v>354</v>
      </c>
      <c r="B179" s="3" t="s">
        <v>240</v>
      </c>
      <c r="C179" s="3" t="s">
        <v>355</v>
      </c>
      <c r="D179" s="106" t="s">
        <v>356</v>
      </c>
      <c r="E179" s="107"/>
      <c r="F179" s="3" t="s">
        <v>72</v>
      </c>
      <c r="G179" s="35">
        <v>25.127500000000001</v>
      </c>
      <c r="H179" s="35"/>
      <c r="I179" s="36" t="s">
        <v>63</v>
      </c>
      <c r="J179" s="35">
        <f>G179*AO179</f>
        <v>0</v>
      </c>
      <c r="K179" s="35">
        <f>G179*AP179</f>
        <v>0</v>
      </c>
      <c r="L179" s="35">
        <f>G179*H179</f>
        <v>0</v>
      </c>
      <c r="M179" s="35">
        <f>L179*(1+BW179/100)</f>
        <v>0</v>
      </c>
      <c r="N179" s="35">
        <v>0.18107999999999999</v>
      </c>
      <c r="O179" s="35">
        <f>G179*N179</f>
        <v>4.5500876999999997</v>
      </c>
      <c r="P179" s="37" t="s">
        <v>64</v>
      </c>
      <c r="Z179" s="35">
        <f>IF(AQ179="5",BJ179,0)</f>
        <v>0</v>
      </c>
      <c r="AB179" s="35">
        <f>IF(AQ179="1",BH179,0)</f>
        <v>0</v>
      </c>
      <c r="AC179" s="35">
        <f>IF(AQ179="1",BI179,0)</f>
        <v>0</v>
      </c>
      <c r="AD179" s="35">
        <f>IF(AQ179="7",BH179,0)</f>
        <v>0</v>
      </c>
      <c r="AE179" s="35">
        <f>IF(AQ179="7",BI179,0)</f>
        <v>0</v>
      </c>
      <c r="AF179" s="35">
        <f>IF(AQ179="2",BH179,0)</f>
        <v>0</v>
      </c>
      <c r="AG179" s="35">
        <f>IF(AQ179="2",BI179,0)</f>
        <v>0</v>
      </c>
      <c r="AH179" s="35">
        <f>IF(AQ179="0",BJ179,0)</f>
        <v>0</v>
      </c>
      <c r="AI179" s="12" t="s">
        <v>240</v>
      </c>
      <c r="AJ179" s="35">
        <f>IF(AN179=0,L179,0)</f>
        <v>0</v>
      </c>
      <c r="AK179" s="35">
        <f>IF(AN179=12,L179,0)</f>
        <v>0</v>
      </c>
      <c r="AL179" s="35">
        <f>IF(AN179=21,L179,0)</f>
        <v>0</v>
      </c>
      <c r="AN179" s="35">
        <v>21</v>
      </c>
      <c r="AO179" s="35">
        <f>H179*0.690762712</f>
        <v>0</v>
      </c>
      <c r="AP179" s="35">
        <f>H179*(1-0.690762712)</f>
        <v>0</v>
      </c>
      <c r="AQ179" s="36" t="s">
        <v>59</v>
      </c>
      <c r="AV179" s="35">
        <f>AW179+AX179</f>
        <v>0</v>
      </c>
      <c r="AW179" s="35">
        <f>G179*AO179</f>
        <v>0</v>
      </c>
      <c r="AX179" s="35">
        <f>G179*AP179</f>
        <v>0</v>
      </c>
      <c r="AY179" s="36" t="s">
        <v>344</v>
      </c>
      <c r="AZ179" s="36" t="s">
        <v>302</v>
      </c>
      <c r="BA179" s="12" t="s">
        <v>248</v>
      </c>
      <c r="BC179" s="35">
        <f>AW179+AX179</f>
        <v>0</v>
      </c>
      <c r="BD179" s="35">
        <f>H179/(100-BE179)*100</f>
        <v>0</v>
      </c>
      <c r="BE179" s="35">
        <v>0</v>
      </c>
      <c r="BF179" s="35">
        <f>O179</f>
        <v>4.5500876999999997</v>
      </c>
      <c r="BH179" s="35">
        <f>G179*AO179</f>
        <v>0</v>
      </c>
      <c r="BI179" s="35">
        <f>G179*AP179</f>
        <v>0</v>
      </c>
      <c r="BJ179" s="35">
        <f>G179*H179</f>
        <v>0</v>
      </c>
      <c r="BK179" s="35"/>
      <c r="BL179" s="35">
        <v>59</v>
      </c>
      <c r="BW179" s="35" t="str">
        <f>I179</f>
        <v>21</v>
      </c>
      <c r="BX179" s="4" t="s">
        <v>356</v>
      </c>
    </row>
    <row r="180" spans="1:76" x14ac:dyDescent="0.25">
      <c r="A180" s="38"/>
      <c r="D180" s="39" t="s">
        <v>357</v>
      </c>
      <c r="E180" s="39" t="s">
        <v>358</v>
      </c>
      <c r="G180" s="40">
        <v>9.4875000000000007</v>
      </c>
      <c r="P180" s="41"/>
    </row>
    <row r="181" spans="1:76" x14ac:dyDescent="0.25">
      <c r="A181" s="38"/>
      <c r="D181" s="39" t="s">
        <v>359</v>
      </c>
      <c r="E181" s="39" t="s">
        <v>54</v>
      </c>
      <c r="G181" s="40">
        <v>4.2549999999999999</v>
      </c>
      <c r="P181" s="41"/>
    </row>
    <row r="182" spans="1:76" x14ac:dyDescent="0.25">
      <c r="A182" s="38"/>
      <c r="D182" s="39" t="s">
        <v>359</v>
      </c>
      <c r="E182" s="39" t="s">
        <v>54</v>
      </c>
      <c r="G182" s="40">
        <v>4.2549999999999999</v>
      </c>
      <c r="P182" s="41"/>
    </row>
    <row r="183" spans="1:76" x14ac:dyDescent="0.25">
      <c r="A183" s="38"/>
      <c r="D183" s="39" t="s">
        <v>360</v>
      </c>
      <c r="E183" s="39" t="s">
        <v>54</v>
      </c>
      <c r="G183" s="40">
        <v>7.13</v>
      </c>
      <c r="P183" s="41"/>
    </row>
    <row r="184" spans="1:76" x14ac:dyDescent="0.25">
      <c r="A184" s="2" t="s">
        <v>361</v>
      </c>
      <c r="B184" s="3" t="s">
        <v>240</v>
      </c>
      <c r="C184" s="3" t="s">
        <v>362</v>
      </c>
      <c r="D184" s="106" t="s">
        <v>363</v>
      </c>
      <c r="E184" s="107"/>
      <c r="F184" s="3" t="s">
        <v>62</v>
      </c>
      <c r="G184" s="35">
        <v>21.85</v>
      </c>
      <c r="H184" s="35"/>
      <c r="I184" s="36" t="s">
        <v>63</v>
      </c>
      <c r="J184" s="35">
        <f>G184*AO184</f>
        <v>0</v>
      </c>
      <c r="K184" s="35">
        <f>G184*AP184</f>
        <v>0</v>
      </c>
      <c r="L184" s="35">
        <f>G184*H184</f>
        <v>0</v>
      </c>
      <c r="M184" s="35">
        <f>L184*(1+BW184/100)</f>
        <v>0</v>
      </c>
      <c r="N184" s="35">
        <v>3.3E-4</v>
      </c>
      <c r="O184" s="35">
        <f>G184*N184</f>
        <v>7.2105000000000008E-3</v>
      </c>
      <c r="P184" s="37" t="s">
        <v>219</v>
      </c>
      <c r="Z184" s="35">
        <f>IF(AQ184="5",BJ184,0)</f>
        <v>0</v>
      </c>
      <c r="AB184" s="35">
        <f>IF(AQ184="1",BH184,0)</f>
        <v>0</v>
      </c>
      <c r="AC184" s="35">
        <f>IF(AQ184="1",BI184,0)</f>
        <v>0</v>
      </c>
      <c r="AD184" s="35">
        <f>IF(AQ184="7",BH184,0)</f>
        <v>0</v>
      </c>
      <c r="AE184" s="35">
        <f>IF(AQ184="7",BI184,0)</f>
        <v>0</v>
      </c>
      <c r="AF184" s="35">
        <f>IF(AQ184="2",BH184,0)</f>
        <v>0</v>
      </c>
      <c r="AG184" s="35">
        <f>IF(AQ184="2",BI184,0)</f>
        <v>0</v>
      </c>
      <c r="AH184" s="35">
        <f>IF(AQ184="0",BJ184,0)</f>
        <v>0</v>
      </c>
      <c r="AI184" s="12" t="s">
        <v>240</v>
      </c>
      <c r="AJ184" s="35">
        <f>IF(AN184=0,L184,0)</f>
        <v>0</v>
      </c>
      <c r="AK184" s="35">
        <f>IF(AN184=12,L184,0)</f>
        <v>0</v>
      </c>
      <c r="AL184" s="35">
        <f>IF(AN184=21,L184,0)</f>
        <v>0</v>
      </c>
      <c r="AN184" s="35">
        <v>21</v>
      </c>
      <c r="AO184" s="35">
        <f>H184*0.05670469</f>
        <v>0</v>
      </c>
      <c r="AP184" s="35">
        <f>H184*(1-0.05670469)</f>
        <v>0</v>
      </c>
      <c r="AQ184" s="36" t="s">
        <v>59</v>
      </c>
      <c r="AV184" s="35">
        <f>AW184+AX184</f>
        <v>0</v>
      </c>
      <c r="AW184" s="35">
        <f>G184*AO184</f>
        <v>0</v>
      </c>
      <c r="AX184" s="35">
        <f>G184*AP184</f>
        <v>0</v>
      </c>
      <c r="AY184" s="36" t="s">
        <v>344</v>
      </c>
      <c r="AZ184" s="36" t="s">
        <v>302</v>
      </c>
      <c r="BA184" s="12" t="s">
        <v>248</v>
      </c>
      <c r="BC184" s="35">
        <f>AW184+AX184</f>
        <v>0</v>
      </c>
      <c r="BD184" s="35">
        <f>H184/(100-BE184)*100</f>
        <v>0</v>
      </c>
      <c r="BE184" s="35">
        <v>0</v>
      </c>
      <c r="BF184" s="35">
        <f>O184</f>
        <v>7.2105000000000008E-3</v>
      </c>
      <c r="BH184" s="35">
        <f>G184*AO184</f>
        <v>0</v>
      </c>
      <c r="BI184" s="35">
        <f>G184*AP184</f>
        <v>0</v>
      </c>
      <c r="BJ184" s="35">
        <f>G184*H184</f>
        <v>0</v>
      </c>
      <c r="BK184" s="35"/>
      <c r="BL184" s="35">
        <v>59</v>
      </c>
      <c r="BW184" s="35" t="str">
        <f>I184</f>
        <v>21</v>
      </c>
      <c r="BX184" s="4" t="s">
        <v>363</v>
      </c>
    </row>
    <row r="185" spans="1:76" x14ac:dyDescent="0.25">
      <c r="A185" s="38"/>
      <c r="D185" s="39" t="s">
        <v>364</v>
      </c>
      <c r="E185" s="39" t="s">
        <v>358</v>
      </c>
      <c r="G185" s="40">
        <v>21.85</v>
      </c>
      <c r="P185" s="41"/>
    </row>
    <row r="186" spans="1:76" ht="25.5" x14ac:dyDescent="0.25">
      <c r="A186" s="2" t="s">
        <v>365</v>
      </c>
      <c r="B186" s="3" t="s">
        <v>240</v>
      </c>
      <c r="C186" s="3" t="s">
        <v>366</v>
      </c>
      <c r="D186" s="106" t="s">
        <v>367</v>
      </c>
      <c r="E186" s="107"/>
      <c r="F186" s="3" t="s">
        <v>62</v>
      </c>
      <c r="G186" s="35">
        <v>33.5</v>
      </c>
      <c r="H186" s="35"/>
      <c r="I186" s="36" t="s">
        <v>63</v>
      </c>
      <c r="J186" s="35">
        <f>G186*AO186</f>
        <v>0</v>
      </c>
      <c r="K186" s="35">
        <f>G186*AP186</f>
        <v>0</v>
      </c>
      <c r="L186" s="35">
        <f>G186*H186</f>
        <v>0</v>
      </c>
      <c r="M186" s="35">
        <f>L186*(1+BW186/100)</f>
        <v>0</v>
      </c>
      <c r="N186" s="35">
        <v>2.5250000000000002E-2</v>
      </c>
      <c r="O186" s="35">
        <f>G186*N186</f>
        <v>0.84587500000000004</v>
      </c>
      <c r="P186" s="37" t="s">
        <v>219</v>
      </c>
      <c r="Z186" s="35">
        <f>IF(AQ186="5",BJ186,0)</f>
        <v>0</v>
      </c>
      <c r="AB186" s="35">
        <f>IF(AQ186="1",BH186,0)</f>
        <v>0</v>
      </c>
      <c r="AC186" s="35">
        <f>IF(AQ186="1",BI186,0)</f>
        <v>0</v>
      </c>
      <c r="AD186" s="35">
        <f>IF(AQ186="7",BH186,0)</f>
        <v>0</v>
      </c>
      <c r="AE186" s="35">
        <f>IF(AQ186="7",BI186,0)</f>
        <v>0</v>
      </c>
      <c r="AF186" s="35">
        <f>IF(AQ186="2",BH186,0)</f>
        <v>0</v>
      </c>
      <c r="AG186" s="35">
        <f>IF(AQ186="2",BI186,0)</f>
        <v>0</v>
      </c>
      <c r="AH186" s="35">
        <f>IF(AQ186="0",BJ186,0)</f>
        <v>0</v>
      </c>
      <c r="AI186" s="12" t="s">
        <v>240</v>
      </c>
      <c r="AJ186" s="35">
        <f>IF(AN186=0,L186,0)</f>
        <v>0</v>
      </c>
      <c r="AK186" s="35">
        <f>IF(AN186=12,L186,0)</f>
        <v>0</v>
      </c>
      <c r="AL186" s="35">
        <f>IF(AN186=21,L186,0)</f>
        <v>0</v>
      </c>
      <c r="AN186" s="35">
        <v>21</v>
      </c>
      <c r="AO186" s="35">
        <f>H186*0.604743083</f>
        <v>0</v>
      </c>
      <c r="AP186" s="35">
        <f>H186*(1-0.604743083)</f>
        <v>0</v>
      </c>
      <c r="AQ186" s="36" t="s">
        <v>59</v>
      </c>
      <c r="AV186" s="35">
        <f>AW186+AX186</f>
        <v>0</v>
      </c>
      <c r="AW186" s="35">
        <f>G186*AO186</f>
        <v>0</v>
      </c>
      <c r="AX186" s="35">
        <f>G186*AP186</f>
        <v>0</v>
      </c>
      <c r="AY186" s="36" t="s">
        <v>344</v>
      </c>
      <c r="AZ186" s="36" t="s">
        <v>302</v>
      </c>
      <c r="BA186" s="12" t="s">
        <v>248</v>
      </c>
      <c r="BC186" s="35">
        <f>AW186+AX186</f>
        <v>0</v>
      </c>
      <c r="BD186" s="35">
        <f>H186/(100-BE186)*100</f>
        <v>0</v>
      </c>
      <c r="BE186" s="35">
        <v>0</v>
      </c>
      <c r="BF186" s="35">
        <f>O186</f>
        <v>0.84587500000000004</v>
      </c>
      <c r="BH186" s="35">
        <f>G186*AO186</f>
        <v>0</v>
      </c>
      <c r="BI186" s="35">
        <f>G186*AP186</f>
        <v>0</v>
      </c>
      <c r="BJ186" s="35">
        <f>G186*H186</f>
        <v>0</v>
      </c>
      <c r="BK186" s="35"/>
      <c r="BL186" s="35">
        <v>59</v>
      </c>
      <c r="BW186" s="35" t="str">
        <f>I186</f>
        <v>21</v>
      </c>
      <c r="BX186" s="4" t="s">
        <v>367</v>
      </c>
    </row>
    <row r="187" spans="1:76" x14ac:dyDescent="0.25">
      <c r="A187" s="38"/>
      <c r="D187" s="39" t="s">
        <v>368</v>
      </c>
      <c r="E187" s="39" t="s">
        <v>54</v>
      </c>
      <c r="G187" s="40">
        <v>25.5</v>
      </c>
      <c r="P187" s="41"/>
    </row>
    <row r="188" spans="1:76" x14ac:dyDescent="0.25">
      <c r="A188" s="38"/>
      <c r="D188" s="39" t="s">
        <v>107</v>
      </c>
      <c r="E188" s="39" t="s">
        <v>54</v>
      </c>
      <c r="G188" s="40">
        <v>8</v>
      </c>
      <c r="P188" s="41"/>
    </row>
    <row r="189" spans="1:76" ht="25.5" x14ac:dyDescent="0.25">
      <c r="A189" s="2" t="s">
        <v>369</v>
      </c>
      <c r="B189" s="3" t="s">
        <v>240</v>
      </c>
      <c r="C189" s="3" t="s">
        <v>370</v>
      </c>
      <c r="D189" s="106" t="s">
        <v>371</v>
      </c>
      <c r="E189" s="107"/>
      <c r="F189" s="3" t="s">
        <v>62</v>
      </c>
      <c r="G189" s="35">
        <v>69.5</v>
      </c>
      <c r="H189" s="35"/>
      <c r="I189" s="36" t="s">
        <v>63</v>
      </c>
      <c r="J189" s="35">
        <f>G189*AO189</f>
        <v>0</v>
      </c>
      <c r="K189" s="35">
        <f>G189*AP189</f>
        <v>0</v>
      </c>
      <c r="L189" s="35">
        <f>G189*H189</f>
        <v>0</v>
      </c>
      <c r="M189" s="35">
        <f>L189*(1+BW189/100)</f>
        <v>0</v>
      </c>
      <c r="N189" s="35">
        <v>1.5E-3</v>
      </c>
      <c r="O189" s="35">
        <f>G189*N189</f>
        <v>0.10425</v>
      </c>
      <c r="P189" s="37" t="s">
        <v>64</v>
      </c>
      <c r="Z189" s="35">
        <f>IF(AQ189="5",BJ189,0)</f>
        <v>0</v>
      </c>
      <c r="AB189" s="35">
        <f>IF(AQ189="1",BH189,0)</f>
        <v>0</v>
      </c>
      <c r="AC189" s="35">
        <f>IF(AQ189="1",BI189,0)</f>
        <v>0</v>
      </c>
      <c r="AD189" s="35">
        <f>IF(AQ189="7",BH189,0)</f>
        <v>0</v>
      </c>
      <c r="AE189" s="35">
        <f>IF(AQ189="7",BI189,0)</f>
        <v>0</v>
      </c>
      <c r="AF189" s="35">
        <f>IF(AQ189="2",BH189,0)</f>
        <v>0</v>
      </c>
      <c r="AG189" s="35">
        <f>IF(AQ189="2",BI189,0)</f>
        <v>0</v>
      </c>
      <c r="AH189" s="35">
        <f>IF(AQ189="0",BJ189,0)</f>
        <v>0</v>
      </c>
      <c r="AI189" s="12" t="s">
        <v>240</v>
      </c>
      <c r="AJ189" s="35">
        <f>IF(AN189=0,L189,0)</f>
        <v>0</v>
      </c>
      <c r="AK189" s="35">
        <f>IF(AN189=12,L189,0)</f>
        <v>0</v>
      </c>
      <c r="AL189" s="35">
        <f>IF(AN189=21,L189,0)</f>
        <v>0</v>
      </c>
      <c r="AN189" s="35">
        <v>21</v>
      </c>
      <c r="AO189" s="35">
        <f>H189*0.405921053</f>
        <v>0</v>
      </c>
      <c r="AP189" s="35">
        <f>H189*(1-0.405921053)</f>
        <v>0</v>
      </c>
      <c r="AQ189" s="36" t="s">
        <v>59</v>
      </c>
      <c r="AV189" s="35">
        <f>AW189+AX189</f>
        <v>0</v>
      </c>
      <c r="AW189" s="35">
        <f>G189*AO189</f>
        <v>0</v>
      </c>
      <c r="AX189" s="35">
        <f>G189*AP189</f>
        <v>0</v>
      </c>
      <c r="AY189" s="36" t="s">
        <v>344</v>
      </c>
      <c r="AZ189" s="36" t="s">
        <v>302</v>
      </c>
      <c r="BA189" s="12" t="s">
        <v>248</v>
      </c>
      <c r="BC189" s="35">
        <f>AW189+AX189</f>
        <v>0</v>
      </c>
      <c r="BD189" s="35">
        <f>H189/(100-BE189)*100</f>
        <v>0</v>
      </c>
      <c r="BE189" s="35">
        <v>0</v>
      </c>
      <c r="BF189" s="35">
        <f>O189</f>
        <v>0.10425</v>
      </c>
      <c r="BH189" s="35">
        <f>G189*AO189</f>
        <v>0</v>
      </c>
      <c r="BI189" s="35">
        <f>G189*AP189</f>
        <v>0</v>
      </c>
      <c r="BJ189" s="35">
        <f>G189*H189</f>
        <v>0</v>
      </c>
      <c r="BK189" s="35"/>
      <c r="BL189" s="35">
        <v>59</v>
      </c>
      <c r="BW189" s="35" t="str">
        <f>I189</f>
        <v>21</v>
      </c>
      <c r="BX189" s="4" t="s">
        <v>371</v>
      </c>
    </row>
    <row r="190" spans="1:76" x14ac:dyDescent="0.25">
      <c r="A190" s="38"/>
      <c r="D190" s="39" t="s">
        <v>372</v>
      </c>
      <c r="E190" s="39" t="s">
        <v>54</v>
      </c>
      <c r="G190" s="40">
        <v>69.5</v>
      </c>
      <c r="P190" s="41"/>
    </row>
    <row r="191" spans="1:76" x14ac:dyDescent="0.25">
      <c r="A191" s="31" t="s">
        <v>54</v>
      </c>
      <c r="B191" s="32" t="s">
        <v>240</v>
      </c>
      <c r="C191" s="32" t="s">
        <v>373</v>
      </c>
      <c r="D191" s="164" t="s">
        <v>374</v>
      </c>
      <c r="E191" s="165"/>
      <c r="F191" s="33" t="s">
        <v>3</v>
      </c>
      <c r="G191" s="33" t="s">
        <v>3</v>
      </c>
      <c r="H191" s="33"/>
      <c r="I191" s="33" t="s">
        <v>3</v>
      </c>
      <c r="J191" s="1">
        <f>SUM(J192:J192)</f>
        <v>0</v>
      </c>
      <c r="K191" s="1">
        <f>SUM(K192:K192)</f>
        <v>0</v>
      </c>
      <c r="L191" s="1">
        <f>SUM(L192:L192)</f>
        <v>0</v>
      </c>
      <c r="M191" s="1">
        <f>SUM(M192:M192)</f>
        <v>0</v>
      </c>
      <c r="N191" s="12" t="s">
        <v>54</v>
      </c>
      <c r="O191" s="1">
        <f>SUM(O192:O192)</f>
        <v>5.1235200000000001</v>
      </c>
      <c r="P191" s="34" t="s">
        <v>54</v>
      </c>
      <c r="AI191" s="12" t="s">
        <v>240</v>
      </c>
      <c r="AS191" s="1">
        <f>SUM(AJ192:AJ192)</f>
        <v>0</v>
      </c>
      <c r="AT191" s="1">
        <f>SUM(AK192:AK192)</f>
        <v>0</v>
      </c>
      <c r="AU191" s="1">
        <f>SUM(AL192:AL192)</f>
        <v>0</v>
      </c>
    </row>
    <row r="192" spans="1:76" x14ac:dyDescent="0.25">
      <c r="A192" s="2" t="s">
        <v>375</v>
      </c>
      <c r="B192" s="3" t="s">
        <v>240</v>
      </c>
      <c r="C192" s="3" t="s">
        <v>376</v>
      </c>
      <c r="D192" s="106" t="s">
        <v>377</v>
      </c>
      <c r="E192" s="107"/>
      <c r="F192" s="3" t="s">
        <v>72</v>
      </c>
      <c r="G192" s="35">
        <v>32.021999999999998</v>
      </c>
      <c r="H192" s="35"/>
      <c r="I192" s="36" t="s">
        <v>63</v>
      </c>
      <c r="J192" s="35">
        <f>G192*AO192</f>
        <v>0</v>
      </c>
      <c r="K192" s="35">
        <f>G192*AP192</f>
        <v>0</v>
      </c>
      <c r="L192" s="35">
        <f>G192*H192</f>
        <v>0</v>
      </c>
      <c r="M192" s="35">
        <f>L192*(1+BW192/100)</f>
        <v>0</v>
      </c>
      <c r="N192" s="35">
        <v>0.16</v>
      </c>
      <c r="O192" s="35">
        <f>G192*N192</f>
        <v>5.1235200000000001</v>
      </c>
      <c r="P192" s="37" t="s">
        <v>64</v>
      </c>
      <c r="Z192" s="35">
        <f>IF(AQ192="5",BJ192,0)</f>
        <v>0</v>
      </c>
      <c r="AB192" s="35">
        <f>IF(AQ192="1",BH192,0)</f>
        <v>0</v>
      </c>
      <c r="AC192" s="35">
        <f>IF(AQ192="1",BI192,0)</f>
        <v>0</v>
      </c>
      <c r="AD192" s="35">
        <f>IF(AQ192="7",BH192,0)</f>
        <v>0</v>
      </c>
      <c r="AE192" s="35">
        <f>IF(AQ192="7",BI192,0)</f>
        <v>0</v>
      </c>
      <c r="AF192" s="35">
        <f>IF(AQ192="2",BH192,0)</f>
        <v>0</v>
      </c>
      <c r="AG192" s="35">
        <f>IF(AQ192="2",BI192,0)</f>
        <v>0</v>
      </c>
      <c r="AH192" s="35">
        <f>IF(AQ192="0",BJ192,0)</f>
        <v>0</v>
      </c>
      <c r="AI192" s="12" t="s">
        <v>240</v>
      </c>
      <c r="AJ192" s="35">
        <f>IF(AN192=0,L192,0)</f>
        <v>0</v>
      </c>
      <c r="AK192" s="35">
        <f>IF(AN192=12,L192,0)</f>
        <v>0</v>
      </c>
      <c r="AL192" s="35">
        <f>IF(AN192=21,L192,0)</f>
        <v>0</v>
      </c>
      <c r="AN192" s="35">
        <v>21</v>
      </c>
      <c r="AO192" s="35">
        <f>H192*0.883824039</f>
        <v>0</v>
      </c>
      <c r="AP192" s="35">
        <f>H192*(1-0.883824039)</f>
        <v>0</v>
      </c>
      <c r="AQ192" s="36" t="s">
        <v>59</v>
      </c>
      <c r="AV192" s="35">
        <f>AW192+AX192</f>
        <v>0</v>
      </c>
      <c r="AW192" s="35">
        <f>G192*AO192</f>
        <v>0</v>
      </c>
      <c r="AX192" s="35">
        <f>G192*AP192</f>
        <v>0</v>
      </c>
      <c r="AY192" s="36" t="s">
        <v>378</v>
      </c>
      <c r="AZ192" s="36" t="s">
        <v>379</v>
      </c>
      <c r="BA192" s="12" t="s">
        <v>248</v>
      </c>
      <c r="BC192" s="35">
        <f>AW192+AX192</f>
        <v>0</v>
      </c>
      <c r="BD192" s="35">
        <f>H192/(100-BE192)*100</f>
        <v>0</v>
      </c>
      <c r="BE192" s="35">
        <v>0</v>
      </c>
      <c r="BF192" s="35">
        <f>O192</f>
        <v>5.1235200000000001</v>
      </c>
      <c r="BH192" s="35">
        <f>G192*AO192</f>
        <v>0</v>
      </c>
      <c r="BI192" s="35">
        <f>G192*AP192</f>
        <v>0</v>
      </c>
      <c r="BJ192" s="35">
        <f>G192*H192</f>
        <v>0</v>
      </c>
      <c r="BK192" s="35"/>
      <c r="BL192" s="35">
        <v>63</v>
      </c>
      <c r="BW192" s="35" t="str">
        <f>I192</f>
        <v>21</v>
      </c>
      <c r="BX192" s="4" t="s">
        <v>377</v>
      </c>
    </row>
    <row r="193" spans="1:76" x14ac:dyDescent="0.25">
      <c r="A193" s="38"/>
      <c r="D193" s="39" t="s">
        <v>380</v>
      </c>
      <c r="E193" s="39" t="s">
        <v>54</v>
      </c>
      <c r="G193" s="40">
        <v>9.8550000000000004</v>
      </c>
      <c r="P193" s="41"/>
    </row>
    <row r="194" spans="1:76" x14ac:dyDescent="0.25">
      <c r="A194" s="38"/>
      <c r="D194" s="39" t="s">
        <v>381</v>
      </c>
      <c r="E194" s="39" t="s">
        <v>54</v>
      </c>
      <c r="G194" s="40">
        <v>12.187799999999999</v>
      </c>
      <c r="P194" s="41"/>
    </row>
    <row r="195" spans="1:76" x14ac:dyDescent="0.25">
      <c r="A195" s="38"/>
      <c r="D195" s="39" t="s">
        <v>382</v>
      </c>
      <c r="E195" s="39" t="s">
        <v>54</v>
      </c>
      <c r="G195" s="40">
        <v>9.9792000000000005</v>
      </c>
      <c r="P195" s="41"/>
    </row>
    <row r="196" spans="1:76" x14ac:dyDescent="0.25">
      <c r="A196" s="31" t="s">
        <v>54</v>
      </c>
      <c r="B196" s="32" t="s">
        <v>240</v>
      </c>
      <c r="C196" s="32" t="s">
        <v>383</v>
      </c>
      <c r="D196" s="164" t="s">
        <v>384</v>
      </c>
      <c r="E196" s="165"/>
      <c r="F196" s="33" t="s">
        <v>3</v>
      </c>
      <c r="G196" s="33" t="s">
        <v>3</v>
      </c>
      <c r="H196" s="33"/>
      <c r="I196" s="33" t="s">
        <v>3</v>
      </c>
      <c r="J196" s="1">
        <f>SUM(J197:J200)</f>
        <v>0</v>
      </c>
      <c r="K196" s="1">
        <f>SUM(K197:K200)</f>
        <v>0</v>
      </c>
      <c r="L196" s="1">
        <f>SUM(L197:L200)</f>
        <v>0</v>
      </c>
      <c r="M196" s="1">
        <f>SUM(M197:M200)</f>
        <v>0</v>
      </c>
      <c r="N196" s="12" t="s">
        <v>54</v>
      </c>
      <c r="O196" s="1">
        <f>SUM(O197:O200)</f>
        <v>2.23296E-3</v>
      </c>
      <c r="P196" s="34" t="s">
        <v>54</v>
      </c>
      <c r="AI196" s="12" t="s">
        <v>240</v>
      </c>
      <c r="AS196" s="1">
        <f>SUM(AJ197:AJ200)</f>
        <v>0</v>
      </c>
      <c r="AT196" s="1">
        <f>SUM(AK197:AK200)</f>
        <v>0</v>
      </c>
      <c r="AU196" s="1">
        <f>SUM(AL197:AL200)</f>
        <v>0</v>
      </c>
    </row>
    <row r="197" spans="1:76" x14ac:dyDescent="0.25">
      <c r="A197" s="2" t="s">
        <v>385</v>
      </c>
      <c r="B197" s="3" t="s">
        <v>240</v>
      </c>
      <c r="C197" s="3" t="s">
        <v>386</v>
      </c>
      <c r="D197" s="106" t="s">
        <v>387</v>
      </c>
      <c r="E197" s="107"/>
      <c r="F197" s="3" t="s">
        <v>72</v>
      </c>
      <c r="G197" s="35">
        <v>4.1680000000000001</v>
      </c>
      <c r="H197" s="35"/>
      <c r="I197" s="36" t="s">
        <v>63</v>
      </c>
      <c r="J197" s="35">
        <f>G197*AO197</f>
        <v>0</v>
      </c>
      <c r="K197" s="35">
        <f>G197*AP197</f>
        <v>0</v>
      </c>
      <c r="L197" s="35">
        <f>G197*H197</f>
        <v>0</v>
      </c>
      <c r="M197" s="35">
        <f>L197*(1+BW197/100)</f>
        <v>0</v>
      </c>
      <c r="N197" s="35">
        <v>2.2000000000000001E-4</v>
      </c>
      <c r="O197" s="35">
        <f>G197*N197</f>
        <v>9.1696000000000008E-4</v>
      </c>
      <c r="P197" s="37" t="s">
        <v>64</v>
      </c>
      <c r="Z197" s="35">
        <f>IF(AQ197="5",BJ197,0)</f>
        <v>0</v>
      </c>
      <c r="AB197" s="35">
        <f>IF(AQ197="1",BH197,0)</f>
        <v>0</v>
      </c>
      <c r="AC197" s="35">
        <f>IF(AQ197="1",BI197,0)</f>
        <v>0</v>
      </c>
      <c r="AD197" s="35">
        <f>IF(AQ197="7",BH197,0)</f>
        <v>0</v>
      </c>
      <c r="AE197" s="35">
        <f>IF(AQ197="7",BI197,0)</f>
        <v>0</v>
      </c>
      <c r="AF197" s="35">
        <f>IF(AQ197="2",BH197,0)</f>
        <v>0</v>
      </c>
      <c r="AG197" s="35">
        <f>IF(AQ197="2",BI197,0)</f>
        <v>0</v>
      </c>
      <c r="AH197" s="35">
        <f>IF(AQ197="0",BJ197,0)</f>
        <v>0</v>
      </c>
      <c r="AI197" s="12" t="s">
        <v>240</v>
      </c>
      <c r="AJ197" s="35">
        <f>IF(AN197=0,L197,0)</f>
        <v>0</v>
      </c>
      <c r="AK197" s="35">
        <f>IF(AN197=12,L197,0)</f>
        <v>0</v>
      </c>
      <c r="AL197" s="35">
        <f>IF(AN197=21,L197,0)</f>
        <v>0</v>
      </c>
      <c r="AN197" s="35">
        <v>21</v>
      </c>
      <c r="AO197" s="35">
        <f>H197*0.460087292</f>
        <v>0</v>
      </c>
      <c r="AP197" s="35">
        <f>H197*(1-0.460087292)</f>
        <v>0</v>
      </c>
      <c r="AQ197" s="36" t="s">
        <v>99</v>
      </c>
      <c r="AV197" s="35">
        <f>AW197+AX197</f>
        <v>0</v>
      </c>
      <c r="AW197" s="35">
        <f>G197*AO197</f>
        <v>0</v>
      </c>
      <c r="AX197" s="35">
        <f>G197*AP197</f>
        <v>0</v>
      </c>
      <c r="AY197" s="36" t="s">
        <v>388</v>
      </c>
      <c r="AZ197" s="36" t="s">
        <v>389</v>
      </c>
      <c r="BA197" s="12" t="s">
        <v>248</v>
      </c>
      <c r="BC197" s="35">
        <f>AW197+AX197</f>
        <v>0</v>
      </c>
      <c r="BD197" s="35">
        <f>H197/(100-BE197)*100</f>
        <v>0</v>
      </c>
      <c r="BE197" s="35">
        <v>0</v>
      </c>
      <c r="BF197" s="35">
        <f>O197</f>
        <v>9.1696000000000008E-4</v>
      </c>
      <c r="BH197" s="35">
        <f>G197*AO197</f>
        <v>0</v>
      </c>
      <c r="BI197" s="35">
        <f>G197*AP197</f>
        <v>0</v>
      </c>
      <c r="BJ197" s="35">
        <f>G197*H197</f>
        <v>0</v>
      </c>
      <c r="BK197" s="35"/>
      <c r="BL197" s="35">
        <v>783</v>
      </c>
      <c r="BW197" s="35" t="str">
        <f>I197</f>
        <v>21</v>
      </c>
      <c r="BX197" s="4" t="s">
        <v>387</v>
      </c>
    </row>
    <row r="198" spans="1:76" x14ac:dyDescent="0.25">
      <c r="A198" s="38"/>
      <c r="D198" s="39" t="s">
        <v>150</v>
      </c>
      <c r="E198" s="39" t="s">
        <v>54</v>
      </c>
      <c r="G198" s="40">
        <v>3.1680000000000001</v>
      </c>
      <c r="P198" s="41"/>
    </row>
    <row r="199" spans="1:76" x14ac:dyDescent="0.25">
      <c r="A199" s="38"/>
      <c r="D199" s="39" t="s">
        <v>59</v>
      </c>
      <c r="E199" s="39" t="s">
        <v>390</v>
      </c>
      <c r="G199" s="40">
        <v>1</v>
      </c>
      <c r="P199" s="41"/>
    </row>
    <row r="200" spans="1:76" x14ac:dyDescent="0.25">
      <c r="A200" s="2" t="s">
        <v>80</v>
      </c>
      <c r="B200" s="3" t="s">
        <v>240</v>
      </c>
      <c r="C200" s="3" t="s">
        <v>391</v>
      </c>
      <c r="D200" s="106" t="s">
        <v>392</v>
      </c>
      <c r="E200" s="107"/>
      <c r="F200" s="3" t="s">
        <v>72</v>
      </c>
      <c r="G200" s="35">
        <v>3.76</v>
      </c>
      <c r="H200" s="35"/>
      <c r="I200" s="36" t="s">
        <v>63</v>
      </c>
      <c r="J200" s="35">
        <f>G200*AO200</f>
        <v>0</v>
      </c>
      <c r="K200" s="35">
        <f>G200*AP200</f>
        <v>0</v>
      </c>
      <c r="L200" s="35">
        <f>G200*H200</f>
        <v>0</v>
      </c>
      <c r="M200" s="35">
        <f>L200*(1+BW200/100)</f>
        <v>0</v>
      </c>
      <c r="N200" s="35">
        <v>3.5E-4</v>
      </c>
      <c r="O200" s="35">
        <f>G200*N200</f>
        <v>1.3159999999999999E-3</v>
      </c>
      <c r="P200" s="37" t="s">
        <v>64</v>
      </c>
      <c r="Z200" s="35">
        <f>IF(AQ200="5",BJ200,0)</f>
        <v>0</v>
      </c>
      <c r="AB200" s="35">
        <f>IF(AQ200="1",BH200,0)</f>
        <v>0</v>
      </c>
      <c r="AC200" s="35">
        <f>IF(AQ200="1",BI200,0)</f>
        <v>0</v>
      </c>
      <c r="AD200" s="35">
        <f>IF(AQ200="7",BH200,0)</f>
        <v>0</v>
      </c>
      <c r="AE200" s="35">
        <f>IF(AQ200="7",BI200,0)</f>
        <v>0</v>
      </c>
      <c r="AF200" s="35">
        <f>IF(AQ200="2",BH200,0)</f>
        <v>0</v>
      </c>
      <c r="AG200" s="35">
        <f>IF(AQ200="2",BI200,0)</f>
        <v>0</v>
      </c>
      <c r="AH200" s="35">
        <f>IF(AQ200="0",BJ200,0)</f>
        <v>0</v>
      </c>
      <c r="AI200" s="12" t="s">
        <v>240</v>
      </c>
      <c r="AJ200" s="35">
        <f>IF(AN200=0,L200,0)</f>
        <v>0</v>
      </c>
      <c r="AK200" s="35">
        <f>IF(AN200=12,L200,0)</f>
        <v>0</v>
      </c>
      <c r="AL200" s="35">
        <f>IF(AN200=21,L200,0)</f>
        <v>0</v>
      </c>
      <c r="AN200" s="35">
        <v>21</v>
      </c>
      <c r="AO200" s="35">
        <f>H200*0.460406977</f>
        <v>0</v>
      </c>
      <c r="AP200" s="35">
        <f>H200*(1-0.460406977)</f>
        <v>0</v>
      </c>
      <c r="AQ200" s="36" t="s">
        <v>99</v>
      </c>
      <c r="AV200" s="35">
        <f>AW200+AX200</f>
        <v>0</v>
      </c>
      <c r="AW200" s="35">
        <f>G200*AO200</f>
        <v>0</v>
      </c>
      <c r="AX200" s="35">
        <f>G200*AP200</f>
        <v>0</v>
      </c>
      <c r="AY200" s="36" t="s">
        <v>388</v>
      </c>
      <c r="AZ200" s="36" t="s">
        <v>389</v>
      </c>
      <c r="BA200" s="12" t="s">
        <v>248</v>
      </c>
      <c r="BC200" s="35">
        <f>AW200+AX200</f>
        <v>0</v>
      </c>
      <c r="BD200" s="35">
        <f>H200/(100-BE200)*100</f>
        <v>0</v>
      </c>
      <c r="BE200" s="35">
        <v>0</v>
      </c>
      <c r="BF200" s="35">
        <f>O200</f>
        <v>1.3159999999999999E-3</v>
      </c>
      <c r="BH200" s="35">
        <f>G200*AO200</f>
        <v>0</v>
      </c>
      <c r="BI200" s="35">
        <f>G200*AP200</f>
        <v>0</v>
      </c>
      <c r="BJ200" s="35">
        <f>G200*H200</f>
        <v>0</v>
      </c>
      <c r="BK200" s="35"/>
      <c r="BL200" s="35">
        <v>783</v>
      </c>
      <c r="BW200" s="35" t="str">
        <f>I200</f>
        <v>21</v>
      </c>
      <c r="BX200" s="4" t="s">
        <v>392</v>
      </c>
    </row>
    <row r="201" spans="1:76" x14ac:dyDescent="0.25">
      <c r="A201" s="38"/>
      <c r="D201" s="39" t="s">
        <v>148</v>
      </c>
      <c r="E201" s="39" t="s">
        <v>149</v>
      </c>
      <c r="G201" s="40">
        <v>2.16</v>
      </c>
      <c r="P201" s="41"/>
    </row>
    <row r="202" spans="1:76" x14ac:dyDescent="0.25">
      <c r="A202" s="38"/>
      <c r="D202" s="39" t="s">
        <v>152</v>
      </c>
      <c r="E202" s="39" t="s">
        <v>153</v>
      </c>
      <c r="G202" s="40">
        <v>0.6</v>
      </c>
      <c r="P202" s="41"/>
    </row>
    <row r="203" spans="1:76" x14ac:dyDescent="0.25">
      <c r="A203" s="38"/>
      <c r="D203" s="39" t="s">
        <v>59</v>
      </c>
      <c r="E203" s="39" t="s">
        <v>390</v>
      </c>
      <c r="G203" s="40">
        <v>1</v>
      </c>
      <c r="P203" s="41"/>
    </row>
    <row r="204" spans="1:76" x14ac:dyDescent="0.25">
      <c r="A204" s="31" t="s">
        <v>54</v>
      </c>
      <c r="B204" s="32" t="s">
        <v>240</v>
      </c>
      <c r="C204" s="32" t="s">
        <v>154</v>
      </c>
      <c r="D204" s="164" t="s">
        <v>155</v>
      </c>
      <c r="E204" s="165"/>
      <c r="F204" s="33" t="s">
        <v>3</v>
      </c>
      <c r="G204" s="33" t="s">
        <v>3</v>
      </c>
      <c r="H204" s="33"/>
      <c r="I204" s="33" t="s">
        <v>3</v>
      </c>
      <c r="J204" s="1">
        <f>SUM(J205:J205)</f>
        <v>0</v>
      </c>
      <c r="K204" s="1">
        <f>SUM(K205:K205)</f>
        <v>0</v>
      </c>
      <c r="L204" s="1">
        <f>SUM(L205:L205)</f>
        <v>0</v>
      </c>
      <c r="M204" s="1">
        <f>SUM(M205:M205)</f>
        <v>0</v>
      </c>
      <c r="N204" s="12" t="s">
        <v>54</v>
      </c>
      <c r="O204" s="1">
        <f>SUM(O205:O205)</f>
        <v>22.30958</v>
      </c>
      <c r="P204" s="34" t="s">
        <v>54</v>
      </c>
      <c r="AI204" s="12" t="s">
        <v>240</v>
      </c>
      <c r="AS204" s="1">
        <f>SUM(AJ205:AJ205)</f>
        <v>0</v>
      </c>
      <c r="AT204" s="1">
        <f>SUM(AK205:AK205)</f>
        <v>0</v>
      </c>
      <c r="AU204" s="1">
        <f>SUM(AL205:AL205)</f>
        <v>0</v>
      </c>
    </row>
    <row r="205" spans="1:76" ht="25.5" x14ac:dyDescent="0.25">
      <c r="A205" s="2" t="s">
        <v>296</v>
      </c>
      <c r="B205" s="3" t="s">
        <v>240</v>
      </c>
      <c r="C205" s="3" t="s">
        <v>393</v>
      </c>
      <c r="D205" s="106" t="s">
        <v>394</v>
      </c>
      <c r="E205" s="107"/>
      <c r="F205" s="3" t="s">
        <v>62</v>
      </c>
      <c r="G205" s="35">
        <v>138.5</v>
      </c>
      <c r="H205" s="35"/>
      <c r="I205" s="36" t="s">
        <v>63</v>
      </c>
      <c r="J205" s="35">
        <f>G205*AO205</f>
        <v>0</v>
      </c>
      <c r="K205" s="35">
        <f>G205*AP205</f>
        <v>0</v>
      </c>
      <c r="L205" s="35">
        <f>G205*H205</f>
        <v>0</v>
      </c>
      <c r="M205" s="35">
        <f>L205*(1+BW205/100)</f>
        <v>0</v>
      </c>
      <c r="N205" s="35">
        <v>0.16108</v>
      </c>
      <c r="O205" s="35">
        <f>G205*N205</f>
        <v>22.30958</v>
      </c>
      <c r="P205" s="37" t="s">
        <v>64</v>
      </c>
      <c r="Z205" s="35">
        <f>IF(AQ205="5",BJ205,0)</f>
        <v>0</v>
      </c>
      <c r="AB205" s="35">
        <f>IF(AQ205="1",BH205,0)</f>
        <v>0</v>
      </c>
      <c r="AC205" s="35">
        <f>IF(AQ205="1",BI205,0)</f>
        <v>0</v>
      </c>
      <c r="AD205" s="35">
        <f>IF(AQ205="7",BH205,0)</f>
        <v>0</v>
      </c>
      <c r="AE205" s="35">
        <f>IF(AQ205="7",BI205,0)</f>
        <v>0</v>
      </c>
      <c r="AF205" s="35">
        <f>IF(AQ205="2",BH205,0)</f>
        <v>0</v>
      </c>
      <c r="AG205" s="35">
        <f>IF(AQ205="2",BI205,0)</f>
        <v>0</v>
      </c>
      <c r="AH205" s="35">
        <f>IF(AQ205="0",BJ205,0)</f>
        <v>0</v>
      </c>
      <c r="AI205" s="12" t="s">
        <v>240</v>
      </c>
      <c r="AJ205" s="35">
        <f>IF(AN205=0,L205,0)</f>
        <v>0</v>
      </c>
      <c r="AK205" s="35">
        <f>IF(AN205=12,L205,0)</f>
        <v>0</v>
      </c>
      <c r="AL205" s="35">
        <f>IF(AN205=21,L205,0)</f>
        <v>0</v>
      </c>
      <c r="AN205" s="35">
        <v>21</v>
      </c>
      <c r="AO205" s="35">
        <f>H205*0.714827225</f>
        <v>0</v>
      </c>
      <c r="AP205" s="35">
        <f>H205*(1-0.714827225)</f>
        <v>0</v>
      </c>
      <c r="AQ205" s="36" t="s">
        <v>59</v>
      </c>
      <c r="AV205" s="35">
        <f>AW205+AX205</f>
        <v>0</v>
      </c>
      <c r="AW205" s="35">
        <f>G205*AO205</f>
        <v>0</v>
      </c>
      <c r="AX205" s="35">
        <f>G205*AP205</f>
        <v>0</v>
      </c>
      <c r="AY205" s="36" t="s">
        <v>159</v>
      </c>
      <c r="AZ205" s="36" t="s">
        <v>395</v>
      </c>
      <c r="BA205" s="12" t="s">
        <v>248</v>
      </c>
      <c r="BC205" s="35">
        <f>AW205+AX205</f>
        <v>0</v>
      </c>
      <c r="BD205" s="35">
        <f>H205/(100-BE205)*100</f>
        <v>0</v>
      </c>
      <c r="BE205" s="35">
        <v>0</v>
      </c>
      <c r="BF205" s="35">
        <f>O205</f>
        <v>22.30958</v>
      </c>
      <c r="BH205" s="35">
        <f>G205*AO205</f>
        <v>0</v>
      </c>
      <c r="BI205" s="35">
        <f>G205*AP205</f>
        <v>0</v>
      </c>
      <c r="BJ205" s="35">
        <f>G205*H205</f>
        <v>0</v>
      </c>
      <c r="BK205" s="35"/>
      <c r="BL205" s="35">
        <v>91</v>
      </c>
      <c r="BW205" s="35" t="str">
        <f>I205</f>
        <v>21</v>
      </c>
      <c r="BX205" s="4" t="s">
        <v>394</v>
      </c>
    </row>
    <row r="206" spans="1:76" x14ac:dyDescent="0.25">
      <c r="A206" s="38"/>
      <c r="D206" s="39" t="s">
        <v>396</v>
      </c>
      <c r="E206" s="39" t="s">
        <v>54</v>
      </c>
      <c r="G206" s="40">
        <v>138.5</v>
      </c>
      <c r="P206" s="41"/>
    </row>
    <row r="207" spans="1:76" x14ac:dyDescent="0.25">
      <c r="A207" s="31" t="s">
        <v>54</v>
      </c>
      <c r="B207" s="32" t="s">
        <v>240</v>
      </c>
      <c r="C207" s="32" t="s">
        <v>397</v>
      </c>
      <c r="D207" s="164" t="s">
        <v>398</v>
      </c>
      <c r="E207" s="165"/>
      <c r="F207" s="33" t="s">
        <v>3</v>
      </c>
      <c r="G207" s="33" t="s">
        <v>3</v>
      </c>
      <c r="H207" s="33"/>
      <c r="I207" s="33" t="s">
        <v>3</v>
      </c>
      <c r="J207" s="1">
        <f>SUM(J208:J208)</f>
        <v>0</v>
      </c>
      <c r="K207" s="1">
        <f>SUM(K208:K208)</f>
        <v>0</v>
      </c>
      <c r="L207" s="1">
        <f>SUM(L208:L208)</f>
        <v>0</v>
      </c>
      <c r="M207" s="1">
        <f>SUM(M208:M208)</f>
        <v>0</v>
      </c>
      <c r="N207" s="12" t="s">
        <v>54</v>
      </c>
      <c r="O207" s="1">
        <f>SUM(O208:O208)</f>
        <v>0</v>
      </c>
      <c r="P207" s="34" t="s">
        <v>54</v>
      </c>
      <c r="AI207" s="12" t="s">
        <v>240</v>
      </c>
      <c r="AS207" s="1">
        <f>SUM(AJ208:AJ208)</f>
        <v>0</v>
      </c>
      <c r="AT207" s="1">
        <f>SUM(AK208:AK208)</f>
        <v>0</v>
      </c>
      <c r="AU207" s="1">
        <f>SUM(AL208:AL208)</f>
        <v>0</v>
      </c>
    </row>
    <row r="208" spans="1:76" x14ac:dyDescent="0.25">
      <c r="A208" s="2" t="s">
        <v>328</v>
      </c>
      <c r="B208" s="3" t="s">
        <v>240</v>
      </c>
      <c r="C208" s="3" t="s">
        <v>399</v>
      </c>
      <c r="D208" s="106" t="s">
        <v>400</v>
      </c>
      <c r="E208" s="107"/>
      <c r="F208" s="3" t="s">
        <v>210</v>
      </c>
      <c r="G208" s="35">
        <v>1061.6366800000001</v>
      </c>
      <c r="H208" s="35"/>
      <c r="I208" s="36" t="s">
        <v>63</v>
      </c>
      <c r="J208" s="35">
        <f>G208*AO208</f>
        <v>0</v>
      </c>
      <c r="K208" s="35">
        <f>G208*AP208</f>
        <v>0</v>
      </c>
      <c r="L208" s="35">
        <f>G208*H208</f>
        <v>0</v>
      </c>
      <c r="M208" s="35">
        <f>L208*(1+BW208/100)</f>
        <v>0</v>
      </c>
      <c r="N208" s="35">
        <v>0</v>
      </c>
      <c r="O208" s="35">
        <f>G208*N208</f>
        <v>0</v>
      </c>
      <c r="P208" s="37" t="s">
        <v>64</v>
      </c>
      <c r="Z208" s="35">
        <f>IF(AQ208="5",BJ208,0)</f>
        <v>0</v>
      </c>
      <c r="AB208" s="35">
        <f>IF(AQ208="1",BH208,0)</f>
        <v>0</v>
      </c>
      <c r="AC208" s="35">
        <f>IF(AQ208="1",BI208,0)</f>
        <v>0</v>
      </c>
      <c r="AD208" s="35">
        <f>IF(AQ208="7",BH208,0)</f>
        <v>0</v>
      </c>
      <c r="AE208" s="35">
        <f>IF(AQ208="7",BI208,0)</f>
        <v>0</v>
      </c>
      <c r="AF208" s="35">
        <f>IF(AQ208="2",BH208,0)</f>
        <v>0</v>
      </c>
      <c r="AG208" s="35">
        <f>IF(AQ208="2",BI208,0)</f>
        <v>0</v>
      </c>
      <c r="AH208" s="35">
        <f>IF(AQ208="0",BJ208,0)</f>
        <v>0</v>
      </c>
      <c r="AI208" s="12" t="s">
        <v>240</v>
      </c>
      <c r="AJ208" s="35">
        <f>IF(AN208=0,L208,0)</f>
        <v>0</v>
      </c>
      <c r="AK208" s="35">
        <f>IF(AN208=12,L208,0)</f>
        <v>0</v>
      </c>
      <c r="AL208" s="35">
        <f>IF(AN208=21,L208,0)</f>
        <v>0</v>
      </c>
      <c r="AN208" s="35">
        <v>21</v>
      </c>
      <c r="AO208" s="35">
        <f>H208*0</f>
        <v>0</v>
      </c>
      <c r="AP208" s="35">
        <f>H208*(1-0)</f>
        <v>0</v>
      </c>
      <c r="AQ208" s="36" t="s">
        <v>88</v>
      </c>
      <c r="AV208" s="35">
        <f>AW208+AX208</f>
        <v>0</v>
      </c>
      <c r="AW208" s="35">
        <f>G208*AO208</f>
        <v>0</v>
      </c>
      <c r="AX208" s="35">
        <f>G208*AP208</f>
        <v>0</v>
      </c>
      <c r="AY208" s="36" t="s">
        <v>401</v>
      </c>
      <c r="AZ208" s="36" t="s">
        <v>395</v>
      </c>
      <c r="BA208" s="12" t="s">
        <v>248</v>
      </c>
      <c r="BC208" s="35">
        <f>AW208+AX208</f>
        <v>0</v>
      </c>
      <c r="BD208" s="35">
        <f>H208/(100-BE208)*100</f>
        <v>0</v>
      </c>
      <c r="BE208" s="35">
        <v>0</v>
      </c>
      <c r="BF208" s="35">
        <f>O208</f>
        <v>0</v>
      </c>
      <c r="BH208" s="35">
        <f>G208*AO208</f>
        <v>0</v>
      </c>
      <c r="BI208" s="35">
        <f>G208*AP208</f>
        <v>0</v>
      </c>
      <c r="BJ208" s="35">
        <f>G208*H208</f>
        <v>0</v>
      </c>
      <c r="BK208" s="35"/>
      <c r="BL208" s="35"/>
      <c r="BW208" s="35" t="str">
        <f>I208</f>
        <v>21</v>
      </c>
      <c r="BX208" s="4" t="s">
        <v>400</v>
      </c>
    </row>
    <row r="209" spans="1:76" x14ac:dyDescent="0.25">
      <c r="A209" s="31" t="s">
        <v>54</v>
      </c>
      <c r="B209" s="32" t="s">
        <v>240</v>
      </c>
      <c r="C209" s="32" t="s">
        <v>402</v>
      </c>
      <c r="D209" s="164" t="s">
        <v>403</v>
      </c>
      <c r="E209" s="165"/>
      <c r="F209" s="33" t="s">
        <v>3</v>
      </c>
      <c r="G209" s="33" t="s">
        <v>3</v>
      </c>
      <c r="H209" s="33"/>
      <c r="I209" s="33" t="s">
        <v>3</v>
      </c>
      <c r="J209" s="1">
        <f>J210</f>
        <v>0</v>
      </c>
      <c r="K209" s="1">
        <f>K210</f>
        <v>0</v>
      </c>
      <c r="L209" s="1">
        <f>L210</f>
        <v>0</v>
      </c>
      <c r="M209" s="1">
        <f>M210</f>
        <v>0</v>
      </c>
      <c r="N209" s="12" t="s">
        <v>54</v>
      </c>
      <c r="O209" s="1">
        <f>O210</f>
        <v>0</v>
      </c>
      <c r="P209" s="34" t="s">
        <v>54</v>
      </c>
      <c r="AI209" s="12" t="s">
        <v>240</v>
      </c>
    </row>
    <row r="210" spans="1:76" x14ac:dyDescent="0.25">
      <c r="A210" s="31" t="s">
        <v>54</v>
      </c>
      <c r="B210" s="32" t="s">
        <v>240</v>
      </c>
      <c r="C210" s="32" t="s">
        <v>404</v>
      </c>
      <c r="D210" s="164" t="s">
        <v>405</v>
      </c>
      <c r="E210" s="165"/>
      <c r="F210" s="33" t="s">
        <v>3</v>
      </c>
      <c r="G210" s="33" t="s">
        <v>3</v>
      </c>
      <c r="H210" s="33"/>
      <c r="I210" s="33" t="s">
        <v>3</v>
      </c>
      <c r="J210" s="1">
        <f>SUM(J211:J211)</f>
        <v>0</v>
      </c>
      <c r="K210" s="1">
        <f>SUM(K211:K211)</f>
        <v>0</v>
      </c>
      <c r="L210" s="1">
        <f>SUM(L211:L211)</f>
        <v>0</v>
      </c>
      <c r="M210" s="1">
        <f>SUM(M211:M211)</f>
        <v>0</v>
      </c>
      <c r="N210" s="12" t="s">
        <v>54</v>
      </c>
      <c r="O210" s="1">
        <f>SUM(O211:O211)</f>
        <v>0</v>
      </c>
      <c r="P210" s="34" t="s">
        <v>54</v>
      </c>
      <c r="AI210" s="12" t="s">
        <v>240</v>
      </c>
      <c r="AS210" s="1">
        <f>SUM(AJ211:AJ211)</f>
        <v>0</v>
      </c>
      <c r="AT210" s="1">
        <f>SUM(AK211:AK211)</f>
        <v>0</v>
      </c>
      <c r="AU210" s="1">
        <f>SUM(AL211:AL211)</f>
        <v>0</v>
      </c>
    </row>
    <row r="211" spans="1:76" x14ac:dyDescent="0.25">
      <c r="A211" s="2" t="s">
        <v>406</v>
      </c>
      <c r="B211" s="3" t="s">
        <v>240</v>
      </c>
      <c r="C211" s="3" t="s">
        <v>407</v>
      </c>
      <c r="D211" s="106" t="s">
        <v>408</v>
      </c>
      <c r="E211" s="107"/>
      <c r="F211" s="3" t="s">
        <v>409</v>
      </c>
      <c r="G211" s="35">
        <v>1</v>
      </c>
      <c r="H211" s="35"/>
      <c r="I211" s="36" t="s">
        <v>63</v>
      </c>
      <c r="J211" s="35">
        <f>G211*AO211</f>
        <v>0</v>
      </c>
      <c r="K211" s="35">
        <f>G211*AP211</f>
        <v>0</v>
      </c>
      <c r="L211" s="35">
        <f>G211*H211</f>
        <v>0</v>
      </c>
      <c r="M211" s="35">
        <f>L211*(1+BW211/100)</f>
        <v>0</v>
      </c>
      <c r="N211" s="35">
        <v>0</v>
      </c>
      <c r="O211" s="35">
        <f>G211*N211</f>
        <v>0</v>
      </c>
      <c r="P211" s="37" t="s">
        <v>64</v>
      </c>
      <c r="Z211" s="35">
        <f>IF(AQ211="5",BJ211,0)</f>
        <v>0</v>
      </c>
      <c r="AB211" s="35">
        <f>IF(AQ211="1",BH211,0)</f>
        <v>0</v>
      </c>
      <c r="AC211" s="35">
        <f>IF(AQ211="1",BI211,0)</f>
        <v>0</v>
      </c>
      <c r="AD211" s="35">
        <f>IF(AQ211="7",BH211,0)</f>
        <v>0</v>
      </c>
      <c r="AE211" s="35">
        <f>IF(AQ211="7",BI211,0)</f>
        <v>0</v>
      </c>
      <c r="AF211" s="35">
        <f>IF(AQ211="2",BH211,0)</f>
        <v>0</v>
      </c>
      <c r="AG211" s="35">
        <f>IF(AQ211="2",BI211,0)</f>
        <v>0</v>
      </c>
      <c r="AH211" s="35">
        <f>IF(AQ211="0",BJ211,0)</f>
        <v>0</v>
      </c>
      <c r="AI211" s="12" t="s">
        <v>240</v>
      </c>
      <c r="AJ211" s="35">
        <f>IF(AN211=0,L211,0)</f>
        <v>0</v>
      </c>
      <c r="AK211" s="35">
        <f>IF(AN211=12,L211,0)</f>
        <v>0</v>
      </c>
      <c r="AL211" s="35">
        <f>IF(AN211=21,L211,0)</f>
        <v>0</v>
      </c>
      <c r="AN211" s="35">
        <v>21</v>
      </c>
      <c r="AO211" s="35">
        <f>H211*0</f>
        <v>0</v>
      </c>
      <c r="AP211" s="35">
        <f>H211*(1-0)</f>
        <v>0</v>
      </c>
      <c r="AQ211" s="36" t="s">
        <v>410</v>
      </c>
      <c r="AV211" s="35">
        <f>AW211+AX211</f>
        <v>0</v>
      </c>
      <c r="AW211" s="35">
        <f>G211*AO211</f>
        <v>0</v>
      </c>
      <c r="AX211" s="35">
        <f>G211*AP211</f>
        <v>0</v>
      </c>
      <c r="AY211" s="36" t="s">
        <v>411</v>
      </c>
      <c r="AZ211" s="36" t="s">
        <v>412</v>
      </c>
      <c r="BA211" s="12" t="s">
        <v>248</v>
      </c>
      <c r="BC211" s="35">
        <f>AW211+AX211</f>
        <v>0</v>
      </c>
      <c r="BD211" s="35">
        <f>H211/(100-BE211)*100</f>
        <v>0</v>
      </c>
      <c r="BE211" s="35">
        <v>0</v>
      </c>
      <c r="BF211" s="35">
        <f>O211</f>
        <v>0</v>
      </c>
      <c r="BH211" s="35">
        <f>G211*AO211</f>
        <v>0</v>
      </c>
      <c r="BI211" s="35">
        <f>G211*AP211</f>
        <v>0</v>
      </c>
      <c r="BJ211" s="35">
        <f>G211*H211</f>
        <v>0</v>
      </c>
      <c r="BK211" s="35"/>
      <c r="BL211" s="35"/>
      <c r="BP211" s="35">
        <f>G211*H211</f>
        <v>0</v>
      </c>
      <c r="BW211" s="35" t="str">
        <f>I211</f>
        <v>21</v>
      </c>
      <c r="BX211" s="4" t="s">
        <v>408</v>
      </c>
    </row>
    <row r="212" spans="1:76" x14ac:dyDescent="0.25">
      <c r="A212" s="38"/>
      <c r="D212" s="39" t="s">
        <v>59</v>
      </c>
      <c r="E212" s="39" t="s">
        <v>54</v>
      </c>
      <c r="G212" s="40">
        <v>1</v>
      </c>
      <c r="P212" s="41"/>
    </row>
    <row r="213" spans="1:76" x14ac:dyDescent="0.25">
      <c r="A213" s="31" t="s">
        <v>54</v>
      </c>
      <c r="B213" s="32" t="s">
        <v>413</v>
      </c>
      <c r="C213" s="32" t="s">
        <v>54</v>
      </c>
      <c r="D213" s="164" t="s">
        <v>414</v>
      </c>
      <c r="E213" s="165"/>
      <c r="F213" s="33" t="s">
        <v>3</v>
      </c>
      <c r="G213" s="33" t="s">
        <v>3</v>
      </c>
      <c r="H213" s="33"/>
      <c r="I213" s="33" t="s">
        <v>3</v>
      </c>
      <c r="J213" s="1">
        <f>J214+J219+J222+J241+J265+J267+J284+J312+J336+J344+J347+J352+J358+J360+J362</f>
        <v>0</v>
      </c>
      <c r="K213" s="1">
        <f>K214+K219+K222+K241+K265+K267+K284+K312+K336+K344+K347+K352+K358+K360+K362</f>
        <v>0</v>
      </c>
      <c r="L213" s="1">
        <f>L214+L219+L222+L241+L265+L267+L284+L312+L336+L344+L347+L352+L358+L360+L362</f>
        <v>0</v>
      </c>
      <c r="M213" s="1">
        <f>M214+M219+M222+M241+M265+M267+M284+M312+M336+M344+M347+M352+M358+M360+M362</f>
        <v>0</v>
      </c>
      <c r="N213" s="12" t="s">
        <v>54</v>
      </c>
      <c r="O213" s="1">
        <f>O214+O219+O222+O241+O265+O267+O284+O312+O336+O344+O347+O352+O358+O360+O362</f>
        <v>35.489489899000013</v>
      </c>
      <c r="P213" s="34" t="s">
        <v>54</v>
      </c>
    </row>
    <row r="214" spans="1:76" x14ac:dyDescent="0.25">
      <c r="A214" s="31" t="s">
        <v>54</v>
      </c>
      <c r="B214" s="32" t="s">
        <v>413</v>
      </c>
      <c r="C214" s="32" t="s">
        <v>92</v>
      </c>
      <c r="D214" s="164" t="s">
        <v>129</v>
      </c>
      <c r="E214" s="165"/>
      <c r="F214" s="33" t="s">
        <v>3</v>
      </c>
      <c r="G214" s="33" t="s">
        <v>3</v>
      </c>
      <c r="H214" s="33"/>
      <c r="I214" s="33" t="s">
        <v>3</v>
      </c>
      <c r="J214" s="1">
        <f>SUM(J215:J218)</f>
        <v>0</v>
      </c>
      <c r="K214" s="1">
        <f>SUM(K215:K218)</f>
        <v>0</v>
      </c>
      <c r="L214" s="1">
        <f>SUM(L215:L218)</f>
        <v>0</v>
      </c>
      <c r="M214" s="1">
        <f>SUM(M215:M218)</f>
        <v>0</v>
      </c>
      <c r="N214" s="12" t="s">
        <v>54</v>
      </c>
      <c r="O214" s="1">
        <f>SUM(O215:O218)</f>
        <v>0</v>
      </c>
      <c r="P214" s="34" t="s">
        <v>54</v>
      </c>
      <c r="AI214" s="12" t="s">
        <v>413</v>
      </c>
      <c r="AS214" s="1">
        <f>SUM(AJ215:AJ218)</f>
        <v>0</v>
      </c>
      <c r="AT214" s="1">
        <f>SUM(AK215:AK218)</f>
        <v>0</v>
      </c>
      <c r="AU214" s="1">
        <f>SUM(AL215:AL218)</f>
        <v>0</v>
      </c>
    </row>
    <row r="215" spans="1:76" x14ac:dyDescent="0.25">
      <c r="A215" s="2" t="s">
        <v>317</v>
      </c>
      <c r="B215" s="3" t="s">
        <v>413</v>
      </c>
      <c r="C215" s="3" t="s">
        <v>415</v>
      </c>
      <c r="D215" s="106" t="s">
        <v>416</v>
      </c>
      <c r="E215" s="107"/>
      <c r="F215" s="3" t="s">
        <v>116</v>
      </c>
      <c r="G215" s="35">
        <v>9.36</v>
      </c>
      <c r="H215" s="35"/>
      <c r="I215" s="36" t="s">
        <v>63</v>
      </c>
      <c r="J215" s="35">
        <f>G215*AO215</f>
        <v>0</v>
      </c>
      <c r="K215" s="35">
        <f>G215*AP215</f>
        <v>0</v>
      </c>
      <c r="L215" s="35">
        <f>G215*H215</f>
        <v>0</v>
      </c>
      <c r="M215" s="35">
        <f>L215*(1+BW215/100)</f>
        <v>0</v>
      </c>
      <c r="N215" s="35">
        <v>0</v>
      </c>
      <c r="O215" s="35">
        <f>G215*N215</f>
        <v>0</v>
      </c>
      <c r="P215" s="37" t="s">
        <v>64</v>
      </c>
      <c r="Z215" s="35">
        <f>IF(AQ215="5",BJ215,0)</f>
        <v>0</v>
      </c>
      <c r="AB215" s="35">
        <f>IF(AQ215="1",BH215,0)</f>
        <v>0</v>
      </c>
      <c r="AC215" s="35">
        <f>IF(AQ215="1",BI215,0)</f>
        <v>0</v>
      </c>
      <c r="AD215" s="35">
        <f>IF(AQ215="7",BH215,0)</f>
        <v>0</v>
      </c>
      <c r="AE215" s="35">
        <f>IF(AQ215="7",BI215,0)</f>
        <v>0</v>
      </c>
      <c r="AF215" s="35">
        <f>IF(AQ215="2",BH215,0)</f>
        <v>0</v>
      </c>
      <c r="AG215" s="35">
        <f>IF(AQ215="2",BI215,0)</f>
        <v>0</v>
      </c>
      <c r="AH215" s="35">
        <f>IF(AQ215="0",BJ215,0)</f>
        <v>0</v>
      </c>
      <c r="AI215" s="12" t="s">
        <v>413</v>
      </c>
      <c r="AJ215" s="35">
        <f>IF(AN215=0,L215,0)</f>
        <v>0</v>
      </c>
      <c r="AK215" s="35">
        <f>IF(AN215=12,L215,0)</f>
        <v>0</v>
      </c>
      <c r="AL215" s="35">
        <f>IF(AN215=21,L215,0)</f>
        <v>0</v>
      </c>
      <c r="AN215" s="35">
        <v>21</v>
      </c>
      <c r="AO215" s="35">
        <f>H215*0</f>
        <v>0</v>
      </c>
      <c r="AP215" s="35">
        <f>H215*(1-0)</f>
        <v>0</v>
      </c>
      <c r="AQ215" s="36" t="s">
        <v>59</v>
      </c>
      <c r="AV215" s="35">
        <f>AW215+AX215</f>
        <v>0</v>
      </c>
      <c r="AW215" s="35">
        <f>G215*AO215</f>
        <v>0</v>
      </c>
      <c r="AX215" s="35">
        <f>G215*AP215</f>
        <v>0</v>
      </c>
      <c r="AY215" s="36" t="s">
        <v>132</v>
      </c>
      <c r="AZ215" s="36" t="s">
        <v>417</v>
      </c>
      <c r="BA215" s="12" t="s">
        <v>418</v>
      </c>
      <c r="BC215" s="35">
        <f>AW215+AX215</f>
        <v>0</v>
      </c>
      <c r="BD215" s="35">
        <f>H215/(100-BE215)*100</f>
        <v>0</v>
      </c>
      <c r="BE215" s="35">
        <v>0</v>
      </c>
      <c r="BF215" s="35">
        <f>O215</f>
        <v>0</v>
      </c>
      <c r="BH215" s="35">
        <f>G215*AO215</f>
        <v>0</v>
      </c>
      <c r="BI215" s="35">
        <f>G215*AP215</f>
        <v>0</v>
      </c>
      <c r="BJ215" s="35">
        <f>G215*H215</f>
        <v>0</v>
      </c>
      <c r="BK215" s="35"/>
      <c r="BL215" s="35">
        <v>13</v>
      </c>
      <c r="BW215" s="35" t="str">
        <f>I215</f>
        <v>21</v>
      </c>
      <c r="BX215" s="4" t="s">
        <v>416</v>
      </c>
    </row>
    <row r="216" spans="1:76" x14ac:dyDescent="0.25">
      <c r="A216" s="38"/>
      <c r="D216" s="39" t="s">
        <v>419</v>
      </c>
      <c r="E216" s="39" t="s">
        <v>420</v>
      </c>
      <c r="G216" s="40">
        <v>9.36</v>
      </c>
      <c r="P216" s="41"/>
    </row>
    <row r="217" spans="1:76" x14ac:dyDescent="0.25">
      <c r="A217" s="38"/>
      <c r="D217" s="39" t="s">
        <v>54</v>
      </c>
      <c r="E217" s="39" t="s">
        <v>421</v>
      </c>
      <c r="G217" s="40">
        <v>0</v>
      </c>
      <c r="P217" s="41"/>
    </row>
    <row r="218" spans="1:76" x14ac:dyDescent="0.25">
      <c r="A218" s="2" t="s">
        <v>422</v>
      </c>
      <c r="B218" s="3" t="s">
        <v>413</v>
      </c>
      <c r="C218" s="3" t="s">
        <v>423</v>
      </c>
      <c r="D218" s="106" t="s">
        <v>424</v>
      </c>
      <c r="E218" s="107"/>
      <c r="F218" s="3" t="s">
        <v>116</v>
      </c>
      <c r="G218" s="35">
        <v>9.36</v>
      </c>
      <c r="H218" s="35"/>
      <c r="I218" s="36" t="s">
        <v>63</v>
      </c>
      <c r="J218" s="35">
        <f>G218*AO218</f>
        <v>0</v>
      </c>
      <c r="K218" s="35">
        <f>G218*AP218</f>
        <v>0</v>
      </c>
      <c r="L218" s="35">
        <f>G218*H218</f>
        <v>0</v>
      </c>
      <c r="M218" s="35">
        <f>L218*(1+BW218/100)</f>
        <v>0</v>
      </c>
      <c r="N218" s="35">
        <v>0</v>
      </c>
      <c r="O218" s="35">
        <f>G218*N218</f>
        <v>0</v>
      </c>
      <c r="P218" s="37" t="s">
        <v>64</v>
      </c>
      <c r="Z218" s="35">
        <f>IF(AQ218="5",BJ218,0)</f>
        <v>0</v>
      </c>
      <c r="AB218" s="35">
        <f>IF(AQ218="1",BH218,0)</f>
        <v>0</v>
      </c>
      <c r="AC218" s="35">
        <f>IF(AQ218="1",BI218,0)</f>
        <v>0</v>
      </c>
      <c r="AD218" s="35">
        <f>IF(AQ218="7",BH218,0)</f>
        <v>0</v>
      </c>
      <c r="AE218" s="35">
        <f>IF(AQ218="7",BI218,0)</f>
        <v>0</v>
      </c>
      <c r="AF218" s="35">
        <f>IF(AQ218="2",BH218,0)</f>
        <v>0</v>
      </c>
      <c r="AG218" s="35">
        <f>IF(AQ218="2",BI218,0)</f>
        <v>0</v>
      </c>
      <c r="AH218" s="35">
        <f>IF(AQ218="0",BJ218,0)</f>
        <v>0</v>
      </c>
      <c r="AI218" s="12" t="s">
        <v>413</v>
      </c>
      <c r="AJ218" s="35">
        <f>IF(AN218=0,L218,0)</f>
        <v>0</v>
      </c>
      <c r="AK218" s="35">
        <f>IF(AN218=12,L218,0)</f>
        <v>0</v>
      </c>
      <c r="AL218" s="35">
        <f>IF(AN218=21,L218,0)</f>
        <v>0</v>
      </c>
      <c r="AN218" s="35">
        <v>21</v>
      </c>
      <c r="AO218" s="35">
        <f>H218*0</f>
        <v>0</v>
      </c>
      <c r="AP218" s="35">
        <f>H218*(1-0)</f>
        <v>0</v>
      </c>
      <c r="AQ218" s="36" t="s">
        <v>59</v>
      </c>
      <c r="AV218" s="35">
        <f>AW218+AX218</f>
        <v>0</v>
      </c>
      <c r="AW218" s="35">
        <f>G218*AO218</f>
        <v>0</v>
      </c>
      <c r="AX218" s="35">
        <f>G218*AP218</f>
        <v>0</v>
      </c>
      <c r="AY218" s="36" t="s">
        <v>132</v>
      </c>
      <c r="AZ218" s="36" t="s">
        <v>417</v>
      </c>
      <c r="BA218" s="12" t="s">
        <v>418</v>
      </c>
      <c r="BC218" s="35">
        <f>AW218+AX218</f>
        <v>0</v>
      </c>
      <c r="BD218" s="35">
        <f>H218/(100-BE218)*100</f>
        <v>0</v>
      </c>
      <c r="BE218" s="35">
        <v>0</v>
      </c>
      <c r="BF218" s="35">
        <f>O218</f>
        <v>0</v>
      </c>
      <c r="BH218" s="35">
        <f>G218*AO218</f>
        <v>0</v>
      </c>
      <c r="BI218" s="35">
        <f>G218*AP218</f>
        <v>0</v>
      </c>
      <c r="BJ218" s="35">
        <f>G218*H218</f>
        <v>0</v>
      </c>
      <c r="BK218" s="35"/>
      <c r="BL218" s="35">
        <v>13</v>
      </c>
      <c r="BW218" s="35" t="str">
        <f>I218</f>
        <v>21</v>
      </c>
      <c r="BX218" s="4" t="s">
        <v>424</v>
      </c>
    </row>
    <row r="219" spans="1:76" x14ac:dyDescent="0.25">
      <c r="A219" s="31" t="s">
        <v>54</v>
      </c>
      <c r="B219" s="32" t="s">
        <v>413</v>
      </c>
      <c r="C219" s="32" t="s">
        <v>63</v>
      </c>
      <c r="D219" s="164" t="s">
        <v>282</v>
      </c>
      <c r="E219" s="165"/>
      <c r="F219" s="33" t="s">
        <v>3</v>
      </c>
      <c r="G219" s="33" t="s">
        <v>3</v>
      </c>
      <c r="H219" s="33"/>
      <c r="I219" s="33" t="s">
        <v>3</v>
      </c>
      <c r="J219" s="1">
        <f>SUM(J220:J220)</f>
        <v>0</v>
      </c>
      <c r="K219" s="1">
        <f>SUM(K220:K220)</f>
        <v>0</v>
      </c>
      <c r="L219" s="1">
        <f>SUM(L220:L220)</f>
        <v>0</v>
      </c>
      <c r="M219" s="1">
        <f>SUM(M220:M220)</f>
        <v>0</v>
      </c>
      <c r="N219" s="12" t="s">
        <v>54</v>
      </c>
      <c r="O219" s="1">
        <f>SUM(O220:O220)</f>
        <v>0</v>
      </c>
      <c r="P219" s="34" t="s">
        <v>54</v>
      </c>
      <c r="AI219" s="12" t="s">
        <v>413</v>
      </c>
      <c r="AS219" s="1">
        <f>SUM(AJ220:AJ220)</f>
        <v>0</v>
      </c>
      <c r="AT219" s="1">
        <f>SUM(AK220:AK220)</f>
        <v>0</v>
      </c>
      <c r="AU219" s="1">
        <f>SUM(AL220:AL220)</f>
        <v>0</v>
      </c>
    </row>
    <row r="220" spans="1:76" x14ac:dyDescent="0.25">
      <c r="A220" s="2" t="s">
        <v>425</v>
      </c>
      <c r="B220" s="3" t="s">
        <v>413</v>
      </c>
      <c r="C220" s="3" t="s">
        <v>284</v>
      </c>
      <c r="D220" s="106" t="s">
        <v>285</v>
      </c>
      <c r="E220" s="107"/>
      <c r="F220" s="3" t="s">
        <v>72</v>
      </c>
      <c r="G220" s="35">
        <v>7.2</v>
      </c>
      <c r="H220" s="35"/>
      <c r="I220" s="36" t="s">
        <v>63</v>
      </c>
      <c r="J220" s="35">
        <f>G220*AO220</f>
        <v>0</v>
      </c>
      <c r="K220" s="35">
        <f>G220*AP220</f>
        <v>0</v>
      </c>
      <c r="L220" s="35">
        <f>G220*H220</f>
        <v>0</v>
      </c>
      <c r="M220" s="35">
        <f>L220*(1+BW220/100)</f>
        <v>0</v>
      </c>
      <c r="N220" s="35">
        <v>0</v>
      </c>
      <c r="O220" s="35">
        <f>G220*N220</f>
        <v>0</v>
      </c>
      <c r="P220" s="37" t="s">
        <v>64</v>
      </c>
      <c r="Z220" s="35">
        <f>IF(AQ220="5",BJ220,0)</f>
        <v>0</v>
      </c>
      <c r="AB220" s="35">
        <f>IF(AQ220="1",BH220,0)</f>
        <v>0</v>
      </c>
      <c r="AC220" s="35">
        <f>IF(AQ220="1",BI220,0)</f>
        <v>0</v>
      </c>
      <c r="AD220" s="35">
        <f>IF(AQ220="7",BH220,0)</f>
        <v>0</v>
      </c>
      <c r="AE220" s="35">
        <f>IF(AQ220="7",BI220,0)</f>
        <v>0</v>
      </c>
      <c r="AF220" s="35">
        <f>IF(AQ220="2",BH220,0)</f>
        <v>0</v>
      </c>
      <c r="AG220" s="35">
        <f>IF(AQ220="2",BI220,0)</f>
        <v>0</v>
      </c>
      <c r="AH220" s="35">
        <f>IF(AQ220="0",BJ220,0)</f>
        <v>0</v>
      </c>
      <c r="AI220" s="12" t="s">
        <v>413</v>
      </c>
      <c r="AJ220" s="35">
        <f>IF(AN220=0,L220,0)</f>
        <v>0</v>
      </c>
      <c r="AK220" s="35">
        <f>IF(AN220=12,L220,0)</f>
        <v>0</v>
      </c>
      <c r="AL220" s="35">
        <f>IF(AN220=21,L220,0)</f>
        <v>0</v>
      </c>
      <c r="AN220" s="35">
        <v>21</v>
      </c>
      <c r="AO220" s="35">
        <f>H220*0</f>
        <v>0</v>
      </c>
      <c r="AP220" s="35">
        <f>H220*(1-0)</f>
        <v>0</v>
      </c>
      <c r="AQ220" s="36" t="s">
        <v>59</v>
      </c>
      <c r="AV220" s="35">
        <f>AW220+AX220</f>
        <v>0</v>
      </c>
      <c r="AW220" s="35">
        <f>G220*AO220</f>
        <v>0</v>
      </c>
      <c r="AX220" s="35">
        <f>G220*AP220</f>
        <v>0</v>
      </c>
      <c r="AY220" s="36" t="s">
        <v>286</v>
      </c>
      <c r="AZ220" s="36" t="s">
        <v>426</v>
      </c>
      <c r="BA220" s="12" t="s">
        <v>418</v>
      </c>
      <c r="BC220" s="35">
        <f>AW220+AX220</f>
        <v>0</v>
      </c>
      <c r="BD220" s="35">
        <f>H220/(100-BE220)*100</f>
        <v>0</v>
      </c>
      <c r="BE220" s="35">
        <v>0</v>
      </c>
      <c r="BF220" s="35">
        <f>O220</f>
        <v>0</v>
      </c>
      <c r="BH220" s="35">
        <f>G220*AO220</f>
        <v>0</v>
      </c>
      <c r="BI220" s="35">
        <f>G220*AP220</f>
        <v>0</v>
      </c>
      <c r="BJ220" s="35">
        <f>G220*H220</f>
        <v>0</v>
      </c>
      <c r="BK220" s="35"/>
      <c r="BL220" s="35">
        <v>21</v>
      </c>
      <c r="BW220" s="35" t="str">
        <f>I220</f>
        <v>21</v>
      </c>
      <c r="BX220" s="4" t="s">
        <v>285</v>
      </c>
    </row>
    <row r="221" spans="1:76" x14ac:dyDescent="0.25">
      <c r="A221" s="38"/>
      <c r="D221" s="39" t="s">
        <v>427</v>
      </c>
      <c r="E221" s="39" t="s">
        <v>54</v>
      </c>
      <c r="G221" s="40">
        <v>7.2</v>
      </c>
      <c r="P221" s="41"/>
    </row>
    <row r="222" spans="1:76" x14ac:dyDescent="0.25">
      <c r="A222" s="31" t="s">
        <v>54</v>
      </c>
      <c r="B222" s="32" t="s">
        <v>413</v>
      </c>
      <c r="C222" s="32" t="s">
        <v>233</v>
      </c>
      <c r="D222" s="164" t="s">
        <v>428</v>
      </c>
      <c r="E222" s="165"/>
      <c r="F222" s="33" t="s">
        <v>3</v>
      </c>
      <c r="G222" s="33" t="s">
        <v>3</v>
      </c>
      <c r="H222" s="33"/>
      <c r="I222" s="33" t="s">
        <v>3</v>
      </c>
      <c r="J222" s="1">
        <f>SUM(J223:J239)</f>
        <v>0</v>
      </c>
      <c r="K222" s="1">
        <f>SUM(K223:K239)</f>
        <v>0</v>
      </c>
      <c r="L222" s="1">
        <f>SUM(L223:L239)</f>
        <v>0</v>
      </c>
      <c r="M222" s="1">
        <f>SUM(M223:M239)</f>
        <v>0</v>
      </c>
      <c r="N222" s="12" t="s">
        <v>54</v>
      </c>
      <c r="O222" s="1">
        <f>SUM(O223:O239)</f>
        <v>19.642231341000002</v>
      </c>
      <c r="P222" s="34" t="s">
        <v>54</v>
      </c>
      <c r="AI222" s="12" t="s">
        <v>413</v>
      </c>
      <c r="AS222" s="1">
        <f>SUM(AJ223:AJ239)</f>
        <v>0</v>
      </c>
      <c r="AT222" s="1">
        <f>SUM(AK223:AK239)</f>
        <v>0</v>
      </c>
      <c r="AU222" s="1">
        <f>SUM(AL223:AL239)</f>
        <v>0</v>
      </c>
    </row>
    <row r="223" spans="1:76" x14ac:dyDescent="0.25">
      <c r="A223" s="2" t="s">
        <v>142</v>
      </c>
      <c r="B223" s="3" t="s">
        <v>413</v>
      </c>
      <c r="C223" s="3" t="s">
        <v>429</v>
      </c>
      <c r="D223" s="106" t="s">
        <v>430</v>
      </c>
      <c r="E223" s="107"/>
      <c r="F223" s="3" t="s">
        <v>116</v>
      </c>
      <c r="G223" s="35">
        <v>6.3360000000000003</v>
      </c>
      <c r="H223" s="35"/>
      <c r="I223" s="36" t="s">
        <v>63</v>
      </c>
      <c r="J223" s="35">
        <f>G223*AO223</f>
        <v>0</v>
      </c>
      <c r="K223" s="35">
        <f>G223*AP223</f>
        <v>0</v>
      </c>
      <c r="L223" s="35">
        <f>G223*H223</f>
        <v>0</v>
      </c>
      <c r="M223" s="35">
        <f>L223*(1+BW223/100)</f>
        <v>0</v>
      </c>
      <c r="N223" s="35">
        <v>2.5249999999999999</v>
      </c>
      <c r="O223" s="35">
        <f>G223*N223</f>
        <v>15.9984</v>
      </c>
      <c r="P223" s="37" t="s">
        <v>64</v>
      </c>
      <c r="Z223" s="35">
        <f>IF(AQ223="5",BJ223,0)</f>
        <v>0</v>
      </c>
      <c r="AB223" s="35">
        <f>IF(AQ223="1",BH223,0)</f>
        <v>0</v>
      </c>
      <c r="AC223" s="35">
        <f>IF(AQ223="1",BI223,0)</f>
        <v>0</v>
      </c>
      <c r="AD223" s="35">
        <f>IF(AQ223="7",BH223,0)</f>
        <v>0</v>
      </c>
      <c r="AE223" s="35">
        <f>IF(AQ223="7",BI223,0)</f>
        <v>0</v>
      </c>
      <c r="AF223" s="35">
        <f>IF(AQ223="2",BH223,0)</f>
        <v>0</v>
      </c>
      <c r="AG223" s="35">
        <f>IF(AQ223="2",BI223,0)</f>
        <v>0</v>
      </c>
      <c r="AH223" s="35">
        <f>IF(AQ223="0",BJ223,0)</f>
        <v>0</v>
      </c>
      <c r="AI223" s="12" t="s">
        <v>413</v>
      </c>
      <c r="AJ223" s="35">
        <f>IF(AN223=0,L223,0)</f>
        <v>0</v>
      </c>
      <c r="AK223" s="35">
        <f>IF(AN223=12,L223,0)</f>
        <v>0</v>
      </c>
      <c r="AL223" s="35">
        <f>IF(AN223=21,L223,0)</f>
        <v>0</v>
      </c>
      <c r="AN223" s="35">
        <v>21</v>
      </c>
      <c r="AO223" s="35">
        <f>H223*0.913341843</f>
        <v>0</v>
      </c>
      <c r="AP223" s="35">
        <f>H223*(1-0.913341843)</f>
        <v>0</v>
      </c>
      <c r="AQ223" s="36" t="s">
        <v>59</v>
      </c>
      <c r="AV223" s="35">
        <f>AW223+AX223</f>
        <v>0</v>
      </c>
      <c r="AW223" s="35">
        <f>G223*AO223</f>
        <v>0</v>
      </c>
      <c r="AX223" s="35">
        <f>G223*AP223</f>
        <v>0</v>
      </c>
      <c r="AY223" s="36" t="s">
        <v>431</v>
      </c>
      <c r="AZ223" s="36" t="s">
        <v>426</v>
      </c>
      <c r="BA223" s="12" t="s">
        <v>418</v>
      </c>
      <c r="BC223" s="35">
        <f>AW223+AX223</f>
        <v>0</v>
      </c>
      <c r="BD223" s="35">
        <f>H223/(100-BE223)*100</f>
        <v>0</v>
      </c>
      <c r="BE223" s="35">
        <v>0</v>
      </c>
      <c r="BF223" s="35">
        <f>O223</f>
        <v>15.9984</v>
      </c>
      <c r="BH223" s="35">
        <f>G223*AO223</f>
        <v>0</v>
      </c>
      <c r="BI223" s="35">
        <f>G223*AP223</f>
        <v>0</v>
      </c>
      <c r="BJ223" s="35">
        <f>G223*H223</f>
        <v>0</v>
      </c>
      <c r="BK223" s="35"/>
      <c r="BL223" s="35">
        <v>27</v>
      </c>
      <c r="BW223" s="35" t="str">
        <f>I223</f>
        <v>21</v>
      </c>
      <c r="BX223" s="4" t="s">
        <v>430</v>
      </c>
    </row>
    <row r="224" spans="1:76" x14ac:dyDescent="0.25">
      <c r="A224" s="38"/>
      <c r="D224" s="39" t="s">
        <v>432</v>
      </c>
      <c r="E224" s="39" t="s">
        <v>433</v>
      </c>
      <c r="G224" s="40">
        <v>5.76</v>
      </c>
      <c r="P224" s="41"/>
    </row>
    <row r="225" spans="1:76" x14ac:dyDescent="0.25">
      <c r="A225" s="38"/>
      <c r="D225" s="39" t="s">
        <v>434</v>
      </c>
      <c r="E225" s="39" t="s">
        <v>435</v>
      </c>
      <c r="G225" s="40">
        <v>0.57599999999999996</v>
      </c>
      <c r="P225" s="41"/>
    </row>
    <row r="226" spans="1:76" x14ac:dyDescent="0.25">
      <c r="A226" s="2" t="s">
        <v>373</v>
      </c>
      <c r="B226" s="3" t="s">
        <v>413</v>
      </c>
      <c r="C226" s="3" t="s">
        <v>436</v>
      </c>
      <c r="D226" s="106" t="s">
        <v>437</v>
      </c>
      <c r="E226" s="107"/>
      <c r="F226" s="3" t="s">
        <v>210</v>
      </c>
      <c r="G226" s="35">
        <v>0.30370000000000003</v>
      </c>
      <c r="H226" s="35"/>
      <c r="I226" s="36" t="s">
        <v>63</v>
      </c>
      <c r="J226" s="35">
        <f>G226*AO226</f>
        <v>0</v>
      </c>
      <c r="K226" s="35">
        <f>G226*AP226</f>
        <v>0</v>
      </c>
      <c r="L226" s="35">
        <f>G226*H226</f>
        <v>0</v>
      </c>
      <c r="M226" s="35">
        <f>L226*(1+BW226/100)</f>
        <v>0</v>
      </c>
      <c r="N226" s="35">
        <v>1.0275300000000001</v>
      </c>
      <c r="O226" s="35">
        <f>G226*N226</f>
        <v>0.31206086100000002</v>
      </c>
      <c r="P226" s="37" t="s">
        <v>64</v>
      </c>
      <c r="Z226" s="35">
        <f>IF(AQ226="5",BJ226,0)</f>
        <v>0</v>
      </c>
      <c r="AB226" s="35">
        <f>IF(AQ226="1",BH226,0)</f>
        <v>0</v>
      </c>
      <c r="AC226" s="35">
        <f>IF(AQ226="1",BI226,0)</f>
        <v>0</v>
      </c>
      <c r="AD226" s="35">
        <f>IF(AQ226="7",BH226,0)</f>
        <v>0</v>
      </c>
      <c r="AE226" s="35">
        <f>IF(AQ226="7",BI226,0)</f>
        <v>0</v>
      </c>
      <c r="AF226" s="35">
        <f>IF(AQ226="2",BH226,0)</f>
        <v>0</v>
      </c>
      <c r="AG226" s="35">
        <f>IF(AQ226="2",BI226,0)</f>
        <v>0</v>
      </c>
      <c r="AH226" s="35">
        <f>IF(AQ226="0",BJ226,0)</f>
        <v>0</v>
      </c>
      <c r="AI226" s="12" t="s">
        <v>413</v>
      </c>
      <c r="AJ226" s="35">
        <f>IF(AN226=0,L226,0)</f>
        <v>0</v>
      </c>
      <c r="AK226" s="35">
        <f>IF(AN226=12,L226,0)</f>
        <v>0</v>
      </c>
      <c r="AL226" s="35">
        <f>IF(AN226=21,L226,0)</f>
        <v>0</v>
      </c>
      <c r="AN226" s="35">
        <v>21</v>
      </c>
      <c r="AO226" s="35">
        <f>H226*0.738585043</f>
        <v>0</v>
      </c>
      <c r="AP226" s="35">
        <f>H226*(1-0.738585043)</f>
        <v>0</v>
      </c>
      <c r="AQ226" s="36" t="s">
        <v>59</v>
      </c>
      <c r="AV226" s="35">
        <f>AW226+AX226</f>
        <v>0</v>
      </c>
      <c r="AW226" s="35">
        <f>G226*AO226</f>
        <v>0</v>
      </c>
      <c r="AX226" s="35">
        <f>G226*AP226</f>
        <v>0</v>
      </c>
      <c r="AY226" s="36" t="s">
        <v>431</v>
      </c>
      <c r="AZ226" s="36" t="s">
        <v>426</v>
      </c>
      <c r="BA226" s="12" t="s">
        <v>418</v>
      </c>
      <c r="BC226" s="35">
        <f>AW226+AX226</f>
        <v>0</v>
      </c>
      <c r="BD226" s="35">
        <f>H226/(100-BE226)*100</f>
        <v>0</v>
      </c>
      <c r="BE226" s="35">
        <v>0</v>
      </c>
      <c r="BF226" s="35">
        <f>O226</f>
        <v>0.31206086100000002</v>
      </c>
      <c r="BH226" s="35">
        <f>G226*AO226</f>
        <v>0</v>
      </c>
      <c r="BI226" s="35">
        <f>G226*AP226</f>
        <v>0</v>
      </c>
      <c r="BJ226" s="35">
        <f>G226*H226</f>
        <v>0</v>
      </c>
      <c r="BK226" s="35"/>
      <c r="BL226" s="35">
        <v>27</v>
      </c>
      <c r="BW226" s="35" t="str">
        <f>I226</f>
        <v>21</v>
      </c>
      <c r="BX226" s="4" t="s">
        <v>437</v>
      </c>
    </row>
    <row r="227" spans="1:76" x14ac:dyDescent="0.25">
      <c r="A227" s="38"/>
      <c r="D227" s="39" t="s">
        <v>438</v>
      </c>
      <c r="E227" s="39" t="s">
        <v>439</v>
      </c>
      <c r="G227" s="40">
        <v>1.26E-2</v>
      </c>
      <c r="P227" s="41"/>
    </row>
    <row r="228" spans="1:76" x14ac:dyDescent="0.25">
      <c r="A228" s="38"/>
      <c r="D228" s="39" t="s">
        <v>440</v>
      </c>
      <c r="E228" s="39" t="s">
        <v>441</v>
      </c>
      <c r="G228" s="40">
        <v>0.13639999999999999</v>
      </c>
      <c r="P228" s="41"/>
    </row>
    <row r="229" spans="1:76" x14ac:dyDescent="0.25">
      <c r="A229" s="38"/>
      <c r="D229" s="39" t="s">
        <v>442</v>
      </c>
      <c r="E229" s="39" t="s">
        <v>443</v>
      </c>
      <c r="G229" s="40">
        <v>0.1547</v>
      </c>
      <c r="P229" s="41"/>
    </row>
    <row r="230" spans="1:76" x14ac:dyDescent="0.25">
      <c r="A230" s="2" t="s">
        <v>444</v>
      </c>
      <c r="B230" s="3" t="s">
        <v>413</v>
      </c>
      <c r="C230" s="3" t="s">
        <v>445</v>
      </c>
      <c r="D230" s="106" t="s">
        <v>446</v>
      </c>
      <c r="E230" s="107"/>
      <c r="F230" s="3" t="s">
        <v>116</v>
      </c>
      <c r="G230" s="35">
        <v>0.1512</v>
      </c>
      <c r="H230" s="35"/>
      <c r="I230" s="36" t="s">
        <v>63</v>
      </c>
      <c r="J230" s="35">
        <f>G230*AO230</f>
        <v>0</v>
      </c>
      <c r="K230" s="35">
        <f>G230*AP230</f>
        <v>0</v>
      </c>
      <c r="L230" s="35">
        <f>G230*H230</f>
        <v>0</v>
      </c>
      <c r="M230" s="35">
        <f>L230*(1+BW230/100)</f>
        <v>0</v>
      </c>
      <c r="N230" s="35">
        <v>2.5855999999999999</v>
      </c>
      <c r="O230" s="35">
        <f>G230*N230</f>
        <v>0.39094271999999997</v>
      </c>
      <c r="P230" s="37" t="s">
        <v>64</v>
      </c>
      <c r="Z230" s="35">
        <f>IF(AQ230="5",BJ230,0)</f>
        <v>0</v>
      </c>
      <c r="AB230" s="35">
        <f>IF(AQ230="1",BH230,0)</f>
        <v>0</v>
      </c>
      <c r="AC230" s="35">
        <f>IF(AQ230="1",BI230,0)</f>
        <v>0</v>
      </c>
      <c r="AD230" s="35">
        <f>IF(AQ230="7",BH230,0)</f>
        <v>0</v>
      </c>
      <c r="AE230" s="35">
        <f>IF(AQ230="7",BI230,0)</f>
        <v>0</v>
      </c>
      <c r="AF230" s="35">
        <f>IF(AQ230="2",BH230,0)</f>
        <v>0</v>
      </c>
      <c r="AG230" s="35">
        <f>IF(AQ230="2",BI230,0)</f>
        <v>0</v>
      </c>
      <c r="AH230" s="35">
        <f>IF(AQ230="0",BJ230,0)</f>
        <v>0</v>
      </c>
      <c r="AI230" s="12" t="s">
        <v>413</v>
      </c>
      <c r="AJ230" s="35">
        <f>IF(AN230=0,L230,0)</f>
        <v>0</v>
      </c>
      <c r="AK230" s="35">
        <f>IF(AN230=12,L230,0)</f>
        <v>0</v>
      </c>
      <c r="AL230" s="35">
        <f>IF(AN230=21,L230,0)</f>
        <v>0</v>
      </c>
      <c r="AN230" s="35">
        <v>21</v>
      </c>
      <c r="AO230" s="35">
        <f>H230*0.931211976</f>
        <v>0</v>
      </c>
      <c r="AP230" s="35">
        <f>H230*(1-0.931211976)</f>
        <v>0</v>
      </c>
      <c r="AQ230" s="36" t="s">
        <v>59</v>
      </c>
      <c r="AV230" s="35">
        <f>AW230+AX230</f>
        <v>0</v>
      </c>
      <c r="AW230" s="35">
        <f>G230*AO230</f>
        <v>0</v>
      </c>
      <c r="AX230" s="35">
        <f>G230*AP230</f>
        <v>0</v>
      </c>
      <c r="AY230" s="36" t="s">
        <v>431</v>
      </c>
      <c r="AZ230" s="36" t="s">
        <v>426</v>
      </c>
      <c r="BA230" s="12" t="s">
        <v>418</v>
      </c>
      <c r="BC230" s="35">
        <f>AW230+AX230</f>
        <v>0</v>
      </c>
      <c r="BD230" s="35">
        <f>H230/(100-BE230)*100</f>
        <v>0</v>
      </c>
      <c r="BE230" s="35">
        <v>0</v>
      </c>
      <c r="BF230" s="35">
        <f>O230</f>
        <v>0.39094271999999997</v>
      </c>
      <c r="BH230" s="35">
        <f>G230*AO230</f>
        <v>0</v>
      </c>
      <c r="BI230" s="35">
        <f>G230*AP230</f>
        <v>0</v>
      </c>
      <c r="BJ230" s="35">
        <f>G230*H230</f>
        <v>0</v>
      </c>
      <c r="BK230" s="35"/>
      <c r="BL230" s="35">
        <v>27</v>
      </c>
      <c r="BW230" s="35" t="str">
        <f>I230</f>
        <v>21</v>
      </c>
      <c r="BX230" s="4" t="s">
        <v>446</v>
      </c>
    </row>
    <row r="231" spans="1:76" x14ac:dyDescent="0.25">
      <c r="A231" s="38"/>
      <c r="D231" s="39" t="s">
        <v>447</v>
      </c>
      <c r="E231" s="39" t="s">
        <v>448</v>
      </c>
      <c r="G231" s="40">
        <v>0.1512</v>
      </c>
      <c r="P231" s="41"/>
    </row>
    <row r="232" spans="1:76" x14ac:dyDescent="0.25">
      <c r="A232" s="2" t="s">
        <v>449</v>
      </c>
      <c r="B232" s="3" t="s">
        <v>413</v>
      </c>
      <c r="C232" s="3" t="s">
        <v>450</v>
      </c>
      <c r="D232" s="106" t="s">
        <v>451</v>
      </c>
      <c r="E232" s="107"/>
      <c r="F232" s="3" t="s">
        <v>72</v>
      </c>
      <c r="G232" s="35">
        <v>30.96</v>
      </c>
      <c r="H232" s="35"/>
      <c r="I232" s="36" t="s">
        <v>63</v>
      </c>
      <c r="J232" s="35">
        <f>G232*AO232</f>
        <v>0</v>
      </c>
      <c r="K232" s="35">
        <f>G232*AP232</f>
        <v>0</v>
      </c>
      <c r="L232" s="35">
        <f>G232*H232</f>
        <v>0</v>
      </c>
      <c r="M232" s="35">
        <f>L232*(1+BW232/100)</f>
        <v>0</v>
      </c>
      <c r="N232" s="35">
        <v>3.9199999999999999E-2</v>
      </c>
      <c r="O232" s="35">
        <f>G232*N232</f>
        <v>1.213632</v>
      </c>
      <c r="P232" s="37" t="s">
        <v>64</v>
      </c>
      <c r="Z232" s="35">
        <f>IF(AQ232="5",BJ232,0)</f>
        <v>0</v>
      </c>
      <c r="AB232" s="35">
        <f>IF(AQ232="1",BH232,0)</f>
        <v>0</v>
      </c>
      <c r="AC232" s="35">
        <f>IF(AQ232="1",BI232,0)</f>
        <v>0</v>
      </c>
      <c r="AD232" s="35">
        <f>IF(AQ232="7",BH232,0)</f>
        <v>0</v>
      </c>
      <c r="AE232" s="35">
        <f>IF(AQ232="7",BI232,0)</f>
        <v>0</v>
      </c>
      <c r="AF232" s="35">
        <f>IF(AQ232="2",BH232,0)</f>
        <v>0</v>
      </c>
      <c r="AG232" s="35">
        <f>IF(AQ232="2",BI232,0)</f>
        <v>0</v>
      </c>
      <c r="AH232" s="35">
        <f>IF(AQ232="0",BJ232,0)</f>
        <v>0</v>
      </c>
      <c r="AI232" s="12" t="s">
        <v>413</v>
      </c>
      <c r="AJ232" s="35">
        <f>IF(AN232=0,L232,0)</f>
        <v>0</v>
      </c>
      <c r="AK232" s="35">
        <f>IF(AN232=12,L232,0)</f>
        <v>0</v>
      </c>
      <c r="AL232" s="35">
        <f>IF(AN232=21,L232,0)</f>
        <v>0</v>
      </c>
      <c r="AN232" s="35">
        <v>21</v>
      </c>
      <c r="AO232" s="35">
        <f>H232*0.318291457</f>
        <v>0</v>
      </c>
      <c r="AP232" s="35">
        <f>H232*(1-0.318291457)</f>
        <v>0</v>
      </c>
      <c r="AQ232" s="36" t="s">
        <v>59</v>
      </c>
      <c r="AV232" s="35">
        <f>AW232+AX232</f>
        <v>0</v>
      </c>
      <c r="AW232" s="35">
        <f>G232*AO232</f>
        <v>0</v>
      </c>
      <c r="AX232" s="35">
        <f>G232*AP232</f>
        <v>0</v>
      </c>
      <c r="AY232" s="36" t="s">
        <v>431</v>
      </c>
      <c r="AZ232" s="36" t="s">
        <v>426</v>
      </c>
      <c r="BA232" s="12" t="s">
        <v>418</v>
      </c>
      <c r="BC232" s="35">
        <f>AW232+AX232</f>
        <v>0</v>
      </c>
      <c r="BD232" s="35">
        <f>H232/(100-BE232)*100</f>
        <v>0</v>
      </c>
      <c r="BE232" s="35">
        <v>0</v>
      </c>
      <c r="BF232" s="35">
        <f>O232</f>
        <v>1.213632</v>
      </c>
      <c r="BH232" s="35">
        <f>G232*AO232</f>
        <v>0</v>
      </c>
      <c r="BI232" s="35">
        <f>G232*AP232</f>
        <v>0</v>
      </c>
      <c r="BJ232" s="35">
        <f>G232*H232</f>
        <v>0</v>
      </c>
      <c r="BK232" s="35"/>
      <c r="BL232" s="35">
        <v>27</v>
      </c>
      <c r="BW232" s="35" t="str">
        <f>I232</f>
        <v>21</v>
      </c>
      <c r="BX232" s="4" t="s">
        <v>451</v>
      </c>
    </row>
    <row r="233" spans="1:76" x14ac:dyDescent="0.25">
      <c r="A233" s="38"/>
      <c r="D233" s="39" t="s">
        <v>452</v>
      </c>
      <c r="E233" s="39" t="s">
        <v>453</v>
      </c>
      <c r="G233" s="40">
        <v>23.04</v>
      </c>
      <c r="P233" s="41"/>
    </row>
    <row r="234" spans="1:76" x14ac:dyDescent="0.25">
      <c r="A234" s="38"/>
      <c r="D234" s="39" t="s">
        <v>454</v>
      </c>
      <c r="E234" s="39" t="s">
        <v>455</v>
      </c>
      <c r="G234" s="40">
        <v>5.76</v>
      </c>
      <c r="P234" s="41"/>
    </row>
    <row r="235" spans="1:76" x14ac:dyDescent="0.25">
      <c r="A235" s="38"/>
      <c r="D235" s="39" t="s">
        <v>456</v>
      </c>
      <c r="E235" s="39" t="s">
        <v>457</v>
      </c>
      <c r="G235" s="40">
        <v>2.16</v>
      </c>
      <c r="P235" s="41"/>
    </row>
    <row r="236" spans="1:76" x14ac:dyDescent="0.25">
      <c r="A236" s="2" t="s">
        <v>458</v>
      </c>
      <c r="B236" s="3" t="s">
        <v>413</v>
      </c>
      <c r="C236" s="3" t="s">
        <v>459</v>
      </c>
      <c r="D236" s="106" t="s">
        <v>460</v>
      </c>
      <c r="E236" s="107"/>
      <c r="F236" s="3" t="s">
        <v>72</v>
      </c>
      <c r="G236" s="35">
        <v>30.96</v>
      </c>
      <c r="H236" s="35"/>
      <c r="I236" s="36" t="s">
        <v>63</v>
      </c>
      <c r="J236" s="35">
        <f>G236*AO236</f>
        <v>0</v>
      </c>
      <c r="K236" s="35">
        <f>G236*AP236</f>
        <v>0</v>
      </c>
      <c r="L236" s="35">
        <f>G236*H236</f>
        <v>0</v>
      </c>
      <c r="M236" s="35">
        <f>L236*(1+BW236/100)</f>
        <v>0</v>
      </c>
      <c r="N236" s="35">
        <v>0</v>
      </c>
      <c r="O236" s="35">
        <f>G236*N236</f>
        <v>0</v>
      </c>
      <c r="P236" s="37" t="s">
        <v>64</v>
      </c>
      <c r="Z236" s="35">
        <f>IF(AQ236="5",BJ236,0)</f>
        <v>0</v>
      </c>
      <c r="AB236" s="35">
        <f>IF(AQ236="1",BH236,0)</f>
        <v>0</v>
      </c>
      <c r="AC236" s="35">
        <f>IF(AQ236="1",BI236,0)</f>
        <v>0</v>
      </c>
      <c r="AD236" s="35">
        <f>IF(AQ236="7",BH236,0)</f>
        <v>0</v>
      </c>
      <c r="AE236" s="35">
        <f>IF(AQ236="7",BI236,0)</f>
        <v>0</v>
      </c>
      <c r="AF236" s="35">
        <f>IF(AQ236="2",BH236,0)</f>
        <v>0</v>
      </c>
      <c r="AG236" s="35">
        <f>IF(AQ236="2",BI236,0)</f>
        <v>0</v>
      </c>
      <c r="AH236" s="35">
        <f>IF(AQ236="0",BJ236,0)</f>
        <v>0</v>
      </c>
      <c r="AI236" s="12" t="s">
        <v>413</v>
      </c>
      <c r="AJ236" s="35">
        <f>IF(AN236=0,L236,0)</f>
        <v>0</v>
      </c>
      <c r="AK236" s="35">
        <f>IF(AN236=12,L236,0)</f>
        <v>0</v>
      </c>
      <c r="AL236" s="35">
        <f>IF(AN236=21,L236,0)</f>
        <v>0</v>
      </c>
      <c r="AN236" s="35">
        <v>21</v>
      </c>
      <c r="AO236" s="35">
        <f>H236*0</f>
        <v>0</v>
      </c>
      <c r="AP236" s="35">
        <f>H236*(1-0)</f>
        <v>0</v>
      </c>
      <c r="AQ236" s="36" t="s">
        <v>59</v>
      </c>
      <c r="AV236" s="35">
        <f>AW236+AX236</f>
        <v>0</v>
      </c>
      <c r="AW236" s="35">
        <f>G236*AO236</f>
        <v>0</v>
      </c>
      <c r="AX236" s="35">
        <f>G236*AP236</f>
        <v>0</v>
      </c>
      <c r="AY236" s="36" t="s">
        <v>431</v>
      </c>
      <c r="AZ236" s="36" t="s">
        <v>426</v>
      </c>
      <c r="BA236" s="12" t="s">
        <v>418</v>
      </c>
      <c r="BC236" s="35">
        <f>AW236+AX236</f>
        <v>0</v>
      </c>
      <c r="BD236" s="35">
        <f>H236/(100-BE236)*100</f>
        <v>0</v>
      </c>
      <c r="BE236" s="35">
        <v>0</v>
      </c>
      <c r="BF236" s="35">
        <f>O236</f>
        <v>0</v>
      </c>
      <c r="BH236" s="35">
        <f>G236*AO236</f>
        <v>0</v>
      </c>
      <c r="BI236" s="35">
        <f>G236*AP236</f>
        <v>0</v>
      </c>
      <c r="BJ236" s="35">
        <f>G236*H236</f>
        <v>0</v>
      </c>
      <c r="BK236" s="35"/>
      <c r="BL236" s="35">
        <v>27</v>
      </c>
      <c r="BW236" s="35" t="str">
        <f>I236</f>
        <v>21</v>
      </c>
      <c r="BX236" s="4" t="s">
        <v>460</v>
      </c>
    </row>
    <row r="237" spans="1:76" x14ac:dyDescent="0.25">
      <c r="A237" s="2" t="s">
        <v>461</v>
      </c>
      <c r="B237" s="3" t="s">
        <v>413</v>
      </c>
      <c r="C237" s="3" t="s">
        <v>462</v>
      </c>
      <c r="D237" s="106" t="s">
        <v>463</v>
      </c>
      <c r="E237" s="107"/>
      <c r="F237" s="3" t="s">
        <v>116</v>
      </c>
      <c r="G237" s="35">
        <v>0.68400000000000005</v>
      </c>
      <c r="H237" s="35"/>
      <c r="I237" s="36" t="s">
        <v>63</v>
      </c>
      <c r="J237" s="35">
        <f>G237*AO237</f>
        <v>0</v>
      </c>
      <c r="K237" s="35">
        <f>G237*AP237</f>
        <v>0</v>
      </c>
      <c r="L237" s="35">
        <f>G237*H237</f>
        <v>0</v>
      </c>
      <c r="M237" s="35">
        <f>L237*(1+BW237/100)</f>
        <v>0</v>
      </c>
      <c r="N237" s="35">
        <v>2.5251399999999999</v>
      </c>
      <c r="O237" s="35">
        <f>G237*N237</f>
        <v>1.7271957600000001</v>
      </c>
      <c r="P237" s="37" t="s">
        <v>64</v>
      </c>
      <c r="Z237" s="35">
        <f>IF(AQ237="5",BJ237,0)</f>
        <v>0</v>
      </c>
      <c r="AB237" s="35">
        <f>IF(AQ237="1",BH237,0)</f>
        <v>0</v>
      </c>
      <c r="AC237" s="35">
        <f>IF(AQ237="1",BI237,0)</f>
        <v>0</v>
      </c>
      <c r="AD237" s="35">
        <f>IF(AQ237="7",BH237,0)</f>
        <v>0</v>
      </c>
      <c r="AE237" s="35">
        <f>IF(AQ237="7",BI237,0)</f>
        <v>0</v>
      </c>
      <c r="AF237" s="35">
        <f>IF(AQ237="2",BH237,0)</f>
        <v>0</v>
      </c>
      <c r="AG237" s="35">
        <f>IF(AQ237="2",BI237,0)</f>
        <v>0</v>
      </c>
      <c r="AH237" s="35">
        <f>IF(AQ237="0",BJ237,0)</f>
        <v>0</v>
      </c>
      <c r="AI237" s="12" t="s">
        <v>413</v>
      </c>
      <c r="AJ237" s="35">
        <f>IF(AN237=0,L237,0)</f>
        <v>0</v>
      </c>
      <c r="AK237" s="35">
        <f>IF(AN237=12,L237,0)</f>
        <v>0</v>
      </c>
      <c r="AL237" s="35">
        <f>IF(AN237=21,L237,0)</f>
        <v>0</v>
      </c>
      <c r="AN237" s="35">
        <v>21</v>
      </c>
      <c r="AO237" s="35">
        <f>H237*0.832131327</f>
        <v>0</v>
      </c>
      <c r="AP237" s="35">
        <f>H237*(1-0.832131327)</f>
        <v>0</v>
      </c>
      <c r="AQ237" s="36" t="s">
        <v>59</v>
      </c>
      <c r="AV237" s="35">
        <f>AW237+AX237</f>
        <v>0</v>
      </c>
      <c r="AW237" s="35">
        <f>G237*AO237</f>
        <v>0</v>
      </c>
      <c r="AX237" s="35">
        <f>G237*AP237</f>
        <v>0</v>
      </c>
      <c r="AY237" s="36" t="s">
        <v>431</v>
      </c>
      <c r="AZ237" s="36" t="s">
        <v>426</v>
      </c>
      <c r="BA237" s="12" t="s">
        <v>418</v>
      </c>
      <c r="BC237" s="35">
        <f>AW237+AX237</f>
        <v>0</v>
      </c>
      <c r="BD237" s="35">
        <f>H237/(100-BE237)*100</f>
        <v>0</v>
      </c>
      <c r="BE237" s="35">
        <v>0</v>
      </c>
      <c r="BF237" s="35">
        <f>O237</f>
        <v>1.7271957600000001</v>
      </c>
      <c r="BH237" s="35">
        <f>G237*AO237</f>
        <v>0</v>
      </c>
      <c r="BI237" s="35">
        <f>G237*AP237</f>
        <v>0</v>
      </c>
      <c r="BJ237" s="35">
        <f>G237*H237</f>
        <v>0</v>
      </c>
      <c r="BK237" s="35"/>
      <c r="BL237" s="35">
        <v>27</v>
      </c>
      <c r="BW237" s="35" t="str">
        <f>I237</f>
        <v>21</v>
      </c>
      <c r="BX237" s="4" t="s">
        <v>463</v>
      </c>
    </row>
    <row r="238" spans="1:76" x14ac:dyDescent="0.25">
      <c r="A238" s="38"/>
      <c r="D238" s="39" t="s">
        <v>464</v>
      </c>
      <c r="E238" s="39" t="s">
        <v>54</v>
      </c>
      <c r="G238" s="40">
        <v>0.68400000000000005</v>
      </c>
      <c r="P238" s="41"/>
    </row>
    <row r="239" spans="1:76" ht="25.5" x14ac:dyDescent="0.25">
      <c r="A239" s="2" t="s">
        <v>465</v>
      </c>
      <c r="B239" s="3" t="s">
        <v>413</v>
      </c>
      <c r="C239" s="3" t="s">
        <v>466</v>
      </c>
      <c r="D239" s="106" t="s">
        <v>467</v>
      </c>
      <c r="E239" s="107"/>
      <c r="F239" s="3" t="s">
        <v>72</v>
      </c>
      <c r="G239" s="35">
        <v>1.8</v>
      </c>
      <c r="H239" s="35"/>
      <c r="I239" s="36" t="s">
        <v>63</v>
      </c>
      <c r="J239" s="35">
        <f>G239*AO239</f>
        <v>0</v>
      </c>
      <c r="K239" s="35">
        <f>G239*AP239</f>
        <v>0</v>
      </c>
      <c r="L239" s="35">
        <f>G239*H239</f>
        <v>0</v>
      </c>
      <c r="M239" s="35">
        <f>L239*(1+BW239/100)</f>
        <v>0</v>
      </c>
      <c r="N239" s="35">
        <v>0</v>
      </c>
      <c r="O239" s="35">
        <f>G239*N239</f>
        <v>0</v>
      </c>
      <c r="P239" s="37" t="s">
        <v>219</v>
      </c>
      <c r="Z239" s="35">
        <f>IF(AQ239="5",BJ239,0)</f>
        <v>0</v>
      </c>
      <c r="AB239" s="35">
        <f>IF(AQ239="1",BH239,0)</f>
        <v>0</v>
      </c>
      <c r="AC239" s="35">
        <f>IF(AQ239="1",BI239,0)</f>
        <v>0</v>
      </c>
      <c r="AD239" s="35">
        <f>IF(AQ239="7",BH239,0)</f>
        <v>0</v>
      </c>
      <c r="AE239" s="35">
        <f>IF(AQ239="7",BI239,0)</f>
        <v>0</v>
      </c>
      <c r="AF239" s="35">
        <f>IF(AQ239="2",BH239,0)</f>
        <v>0</v>
      </c>
      <c r="AG239" s="35">
        <f>IF(AQ239="2",BI239,0)</f>
        <v>0</v>
      </c>
      <c r="AH239" s="35">
        <f>IF(AQ239="0",BJ239,0)</f>
        <v>0</v>
      </c>
      <c r="AI239" s="12" t="s">
        <v>413</v>
      </c>
      <c r="AJ239" s="35">
        <f>IF(AN239=0,L239,0)</f>
        <v>0</v>
      </c>
      <c r="AK239" s="35">
        <f>IF(AN239=12,L239,0)</f>
        <v>0</v>
      </c>
      <c r="AL239" s="35">
        <f>IF(AN239=21,L239,0)</f>
        <v>0</v>
      </c>
      <c r="AN239" s="35">
        <v>21</v>
      </c>
      <c r="AO239" s="35">
        <f>H239*0</f>
        <v>0</v>
      </c>
      <c r="AP239" s="35">
        <f>H239*(1-0)</f>
        <v>0</v>
      </c>
      <c r="AQ239" s="36" t="s">
        <v>59</v>
      </c>
      <c r="AV239" s="35">
        <f>AW239+AX239</f>
        <v>0</v>
      </c>
      <c r="AW239" s="35">
        <f>G239*AO239</f>
        <v>0</v>
      </c>
      <c r="AX239" s="35">
        <f>G239*AP239</f>
        <v>0</v>
      </c>
      <c r="AY239" s="36" t="s">
        <v>431</v>
      </c>
      <c r="AZ239" s="36" t="s">
        <v>426</v>
      </c>
      <c r="BA239" s="12" t="s">
        <v>418</v>
      </c>
      <c r="BC239" s="35">
        <f>AW239+AX239</f>
        <v>0</v>
      </c>
      <c r="BD239" s="35">
        <f>H239/(100-BE239)*100</f>
        <v>0</v>
      </c>
      <c r="BE239" s="35">
        <v>0</v>
      </c>
      <c r="BF239" s="35">
        <f>O239</f>
        <v>0</v>
      </c>
      <c r="BH239" s="35">
        <f>G239*AO239</f>
        <v>0</v>
      </c>
      <c r="BI239" s="35">
        <f>G239*AP239</f>
        <v>0</v>
      </c>
      <c r="BJ239" s="35">
        <f>G239*H239</f>
        <v>0</v>
      </c>
      <c r="BK239" s="35"/>
      <c r="BL239" s="35">
        <v>27</v>
      </c>
      <c r="BW239" s="35" t="str">
        <f>I239</f>
        <v>21</v>
      </c>
      <c r="BX239" s="4" t="s">
        <v>467</v>
      </c>
    </row>
    <row r="240" spans="1:76" x14ac:dyDescent="0.25">
      <c r="A240" s="38"/>
      <c r="D240" s="39" t="s">
        <v>468</v>
      </c>
      <c r="E240" s="39" t="s">
        <v>469</v>
      </c>
      <c r="G240" s="40">
        <v>1.8</v>
      </c>
      <c r="P240" s="41"/>
    </row>
    <row r="241" spans="1:76" x14ac:dyDescent="0.25">
      <c r="A241" s="31" t="s">
        <v>54</v>
      </c>
      <c r="B241" s="32" t="s">
        <v>413</v>
      </c>
      <c r="C241" s="32" t="s">
        <v>142</v>
      </c>
      <c r="D241" s="164" t="s">
        <v>143</v>
      </c>
      <c r="E241" s="165"/>
      <c r="F241" s="33" t="s">
        <v>3</v>
      </c>
      <c r="G241" s="33" t="s">
        <v>3</v>
      </c>
      <c r="H241" s="33"/>
      <c r="I241" s="33" t="s">
        <v>3</v>
      </c>
      <c r="J241" s="1">
        <f>SUM(J242:J242)</f>
        <v>0</v>
      </c>
      <c r="K241" s="1">
        <f>SUM(K242:K242)</f>
        <v>0</v>
      </c>
      <c r="L241" s="1">
        <f>SUM(L242:L242)</f>
        <v>0</v>
      </c>
      <c r="M241" s="1">
        <f>SUM(M242:M242)</f>
        <v>0</v>
      </c>
      <c r="N241" s="12" t="s">
        <v>54</v>
      </c>
      <c r="O241" s="1">
        <f>SUM(O242:O242)</f>
        <v>0</v>
      </c>
      <c r="P241" s="34" t="s">
        <v>54</v>
      </c>
      <c r="AI241" s="12" t="s">
        <v>413</v>
      </c>
      <c r="AS241" s="1">
        <f>SUM(AJ242:AJ242)</f>
        <v>0</v>
      </c>
      <c r="AT241" s="1">
        <f>SUM(AK242:AK242)</f>
        <v>0</v>
      </c>
      <c r="AU241" s="1">
        <f>SUM(AL242:AL242)</f>
        <v>0</v>
      </c>
    </row>
    <row r="242" spans="1:76" x14ac:dyDescent="0.25">
      <c r="A242" s="2" t="s">
        <v>470</v>
      </c>
      <c r="B242" s="3" t="s">
        <v>413</v>
      </c>
      <c r="C242" s="3" t="s">
        <v>144</v>
      </c>
      <c r="D242" s="106" t="s">
        <v>471</v>
      </c>
      <c r="E242" s="107"/>
      <c r="F242" s="3" t="s">
        <v>72</v>
      </c>
      <c r="G242" s="35">
        <v>210.7868</v>
      </c>
      <c r="H242" s="35"/>
      <c r="I242" s="36" t="s">
        <v>63</v>
      </c>
      <c r="J242" s="35">
        <f>G242*AO242</f>
        <v>0</v>
      </c>
      <c r="K242" s="35">
        <f>G242*AP242</f>
        <v>0</v>
      </c>
      <c r="L242" s="35">
        <f>G242*H242</f>
        <v>0</v>
      </c>
      <c r="M242" s="35">
        <f>L242*(1+BW242/100)</f>
        <v>0</v>
      </c>
      <c r="N242" s="35">
        <v>0</v>
      </c>
      <c r="O242" s="35">
        <f>G242*N242</f>
        <v>0</v>
      </c>
      <c r="P242" s="37" t="s">
        <v>64</v>
      </c>
      <c r="Z242" s="35">
        <f>IF(AQ242="5",BJ242,0)</f>
        <v>0</v>
      </c>
      <c r="AB242" s="35">
        <f>IF(AQ242="1",BH242,0)</f>
        <v>0</v>
      </c>
      <c r="AC242" s="35">
        <f>IF(AQ242="1",BI242,0)</f>
        <v>0</v>
      </c>
      <c r="AD242" s="35">
        <f>IF(AQ242="7",BH242,0)</f>
        <v>0</v>
      </c>
      <c r="AE242" s="35">
        <f>IF(AQ242="7",BI242,0)</f>
        <v>0</v>
      </c>
      <c r="AF242" s="35">
        <f>IF(AQ242="2",BH242,0)</f>
        <v>0</v>
      </c>
      <c r="AG242" s="35">
        <f>IF(AQ242="2",BI242,0)</f>
        <v>0</v>
      </c>
      <c r="AH242" s="35">
        <f>IF(AQ242="0",BJ242,0)</f>
        <v>0</v>
      </c>
      <c r="AI242" s="12" t="s">
        <v>413</v>
      </c>
      <c r="AJ242" s="35">
        <f>IF(AN242=0,L242,0)</f>
        <v>0</v>
      </c>
      <c r="AK242" s="35">
        <f>IF(AN242=12,L242,0)</f>
        <v>0</v>
      </c>
      <c r="AL242" s="35">
        <f>IF(AN242=21,L242,0)</f>
        <v>0</v>
      </c>
      <c r="AN242" s="35">
        <v>21</v>
      </c>
      <c r="AO242" s="35">
        <f>H242*0</f>
        <v>0</v>
      </c>
      <c r="AP242" s="35">
        <f>H242*(1-0)</f>
        <v>0</v>
      </c>
      <c r="AQ242" s="36" t="s">
        <v>59</v>
      </c>
      <c r="AV242" s="35">
        <f>AW242+AX242</f>
        <v>0</v>
      </c>
      <c r="AW242" s="35">
        <f>G242*AO242</f>
        <v>0</v>
      </c>
      <c r="AX242" s="35">
        <f>G242*AP242</f>
        <v>0</v>
      </c>
      <c r="AY242" s="36" t="s">
        <v>146</v>
      </c>
      <c r="AZ242" s="36" t="s">
        <v>472</v>
      </c>
      <c r="BA242" s="12" t="s">
        <v>418</v>
      </c>
      <c r="BC242" s="35">
        <f>AW242+AX242</f>
        <v>0</v>
      </c>
      <c r="BD242" s="35">
        <f>H242/(100-BE242)*100</f>
        <v>0</v>
      </c>
      <c r="BE242" s="35">
        <v>0</v>
      </c>
      <c r="BF242" s="35">
        <f>O242</f>
        <v>0</v>
      </c>
      <c r="BH242" s="35">
        <f>G242*AO242</f>
        <v>0</v>
      </c>
      <c r="BI242" s="35">
        <f>G242*AP242</f>
        <v>0</v>
      </c>
      <c r="BJ242" s="35">
        <f>G242*H242</f>
        <v>0</v>
      </c>
      <c r="BK242" s="35"/>
      <c r="BL242" s="35">
        <v>62</v>
      </c>
      <c r="BW242" s="35" t="str">
        <f>I242</f>
        <v>21</v>
      </c>
      <c r="BX242" s="4" t="s">
        <v>471</v>
      </c>
    </row>
    <row r="243" spans="1:76" x14ac:dyDescent="0.25">
      <c r="A243" s="38"/>
      <c r="D243" s="39" t="s">
        <v>54</v>
      </c>
      <c r="E243" s="39" t="s">
        <v>473</v>
      </c>
      <c r="G243" s="40">
        <v>0</v>
      </c>
      <c r="P243" s="41"/>
    </row>
    <row r="244" spans="1:76" x14ac:dyDescent="0.25">
      <c r="A244" s="38"/>
      <c r="D244" s="39" t="s">
        <v>474</v>
      </c>
      <c r="E244" s="39" t="s">
        <v>475</v>
      </c>
      <c r="G244" s="40">
        <v>14.64</v>
      </c>
      <c r="P244" s="41"/>
    </row>
    <row r="245" spans="1:76" x14ac:dyDescent="0.25">
      <c r="A245" s="38"/>
      <c r="D245" s="39" t="s">
        <v>476</v>
      </c>
      <c r="E245" s="39" t="s">
        <v>54</v>
      </c>
      <c r="G245" s="40">
        <v>8.7840000000000007</v>
      </c>
      <c r="P245" s="41"/>
    </row>
    <row r="246" spans="1:76" x14ac:dyDescent="0.25">
      <c r="A246" s="38"/>
      <c r="D246" s="39" t="s">
        <v>477</v>
      </c>
      <c r="E246" s="39" t="s">
        <v>478</v>
      </c>
      <c r="G246" s="40">
        <v>11.808</v>
      </c>
      <c r="P246" s="41"/>
    </row>
    <row r="247" spans="1:76" x14ac:dyDescent="0.25">
      <c r="A247" s="38"/>
      <c r="D247" s="39" t="s">
        <v>479</v>
      </c>
      <c r="E247" s="39" t="s">
        <v>54</v>
      </c>
      <c r="G247" s="40">
        <v>13.776</v>
      </c>
      <c r="P247" s="41"/>
    </row>
    <row r="248" spans="1:76" x14ac:dyDescent="0.25">
      <c r="A248" s="38"/>
      <c r="D248" s="39" t="s">
        <v>480</v>
      </c>
      <c r="E248" s="39" t="s">
        <v>54</v>
      </c>
      <c r="G248" s="40">
        <v>18.687999999999999</v>
      </c>
      <c r="P248" s="41"/>
    </row>
    <row r="249" spans="1:76" x14ac:dyDescent="0.25">
      <c r="A249" s="38"/>
      <c r="D249" s="39" t="s">
        <v>481</v>
      </c>
      <c r="E249" s="39" t="s">
        <v>482</v>
      </c>
      <c r="G249" s="40">
        <v>11.68</v>
      </c>
      <c r="P249" s="41"/>
    </row>
    <row r="250" spans="1:76" x14ac:dyDescent="0.25">
      <c r="A250" s="38"/>
      <c r="D250" s="39" t="s">
        <v>483</v>
      </c>
      <c r="E250" s="39" t="s">
        <v>484</v>
      </c>
      <c r="G250" s="40">
        <v>21.024000000000001</v>
      </c>
      <c r="P250" s="41"/>
    </row>
    <row r="251" spans="1:76" x14ac:dyDescent="0.25">
      <c r="A251" s="38"/>
      <c r="D251" s="39" t="s">
        <v>485</v>
      </c>
      <c r="E251" s="39" t="s">
        <v>54</v>
      </c>
      <c r="G251" s="40">
        <v>4.6719999999999997</v>
      </c>
      <c r="P251" s="41"/>
    </row>
    <row r="252" spans="1:76" x14ac:dyDescent="0.25">
      <c r="A252" s="38"/>
      <c r="D252" s="39" t="s">
        <v>486</v>
      </c>
      <c r="E252" s="39" t="s">
        <v>487</v>
      </c>
      <c r="G252" s="40">
        <v>6.2720000000000002</v>
      </c>
      <c r="P252" s="41"/>
    </row>
    <row r="253" spans="1:76" x14ac:dyDescent="0.25">
      <c r="A253" s="38"/>
      <c r="D253" s="39" t="s">
        <v>488</v>
      </c>
      <c r="E253" s="39" t="s">
        <v>489</v>
      </c>
      <c r="G253" s="40">
        <v>45.311999999999998</v>
      </c>
      <c r="P253" s="41"/>
    </row>
    <row r="254" spans="1:76" x14ac:dyDescent="0.25">
      <c r="A254" s="38"/>
      <c r="D254" s="39" t="s">
        <v>54</v>
      </c>
      <c r="E254" s="39" t="s">
        <v>490</v>
      </c>
      <c r="G254" s="40">
        <v>0</v>
      </c>
      <c r="P254" s="41"/>
    </row>
    <row r="255" spans="1:76" x14ac:dyDescent="0.25">
      <c r="A255" s="38"/>
      <c r="D255" s="39" t="s">
        <v>491</v>
      </c>
      <c r="E255" s="39" t="s">
        <v>492</v>
      </c>
      <c r="G255" s="40">
        <v>3.4236</v>
      </c>
      <c r="P255" s="41"/>
    </row>
    <row r="256" spans="1:76" x14ac:dyDescent="0.25">
      <c r="A256" s="38"/>
      <c r="D256" s="39" t="s">
        <v>493</v>
      </c>
      <c r="E256" s="39" t="s">
        <v>54</v>
      </c>
      <c r="G256" s="40">
        <v>1.5216000000000001</v>
      </c>
      <c r="P256" s="41"/>
    </row>
    <row r="257" spans="1:76" x14ac:dyDescent="0.25">
      <c r="A257" s="38"/>
      <c r="D257" s="39" t="s">
        <v>494</v>
      </c>
      <c r="E257" s="39" t="s">
        <v>54</v>
      </c>
      <c r="G257" s="40">
        <v>3.5503999999999998</v>
      </c>
      <c r="P257" s="41"/>
    </row>
    <row r="258" spans="1:76" x14ac:dyDescent="0.25">
      <c r="A258" s="38"/>
      <c r="D258" s="39" t="s">
        <v>495</v>
      </c>
      <c r="E258" s="39" t="s">
        <v>54</v>
      </c>
      <c r="G258" s="40">
        <v>9.4719999999999995</v>
      </c>
      <c r="P258" s="41"/>
    </row>
    <row r="259" spans="1:76" x14ac:dyDescent="0.25">
      <c r="A259" s="38"/>
      <c r="D259" s="39" t="s">
        <v>496</v>
      </c>
      <c r="E259" s="39" t="s">
        <v>54</v>
      </c>
      <c r="G259" s="40">
        <v>4.7359999999999998</v>
      </c>
      <c r="P259" s="41"/>
    </row>
    <row r="260" spans="1:76" x14ac:dyDescent="0.25">
      <c r="A260" s="38"/>
      <c r="D260" s="39" t="s">
        <v>497</v>
      </c>
      <c r="E260" s="39" t="s">
        <v>498</v>
      </c>
      <c r="G260" s="40">
        <v>3.0432000000000001</v>
      </c>
      <c r="P260" s="41"/>
    </row>
    <row r="261" spans="1:76" x14ac:dyDescent="0.25">
      <c r="A261" s="38"/>
      <c r="D261" s="39" t="s">
        <v>499</v>
      </c>
      <c r="E261" s="39" t="s">
        <v>500</v>
      </c>
      <c r="G261" s="40">
        <v>5.92</v>
      </c>
      <c r="P261" s="41"/>
    </row>
    <row r="262" spans="1:76" x14ac:dyDescent="0.25">
      <c r="A262" s="38"/>
      <c r="D262" s="39" t="s">
        <v>501</v>
      </c>
      <c r="E262" s="39" t="s">
        <v>502</v>
      </c>
      <c r="G262" s="40">
        <v>7.1040000000000001</v>
      </c>
      <c r="P262" s="41"/>
    </row>
    <row r="263" spans="1:76" x14ac:dyDescent="0.25">
      <c r="A263" s="38"/>
      <c r="D263" s="39" t="s">
        <v>503</v>
      </c>
      <c r="E263" s="39" t="s">
        <v>504</v>
      </c>
      <c r="G263" s="40">
        <v>11.52</v>
      </c>
      <c r="P263" s="41"/>
    </row>
    <row r="264" spans="1:76" x14ac:dyDescent="0.25">
      <c r="A264" s="38"/>
      <c r="D264" s="39" t="s">
        <v>505</v>
      </c>
      <c r="E264" s="39" t="s">
        <v>54</v>
      </c>
      <c r="G264" s="40">
        <v>3.84</v>
      </c>
      <c r="P264" s="41"/>
    </row>
    <row r="265" spans="1:76" x14ac:dyDescent="0.25">
      <c r="A265" s="31" t="s">
        <v>54</v>
      </c>
      <c r="B265" s="32" t="s">
        <v>413</v>
      </c>
      <c r="C265" s="32" t="s">
        <v>506</v>
      </c>
      <c r="D265" s="164" t="s">
        <v>507</v>
      </c>
      <c r="E265" s="165"/>
      <c r="F265" s="33" t="s">
        <v>3</v>
      </c>
      <c r="G265" s="33" t="s">
        <v>3</v>
      </c>
      <c r="H265" s="33"/>
      <c r="I265" s="33" t="s">
        <v>3</v>
      </c>
      <c r="J265" s="1">
        <f>SUM(J266:J266)</f>
        <v>0</v>
      </c>
      <c r="K265" s="1">
        <f>SUM(K266:K266)</f>
        <v>0</v>
      </c>
      <c r="L265" s="1">
        <f>SUM(L266:L266)</f>
        <v>0</v>
      </c>
      <c r="M265" s="1">
        <f>SUM(M266:M266)</f>
        <v>0</v>
      </c>
      <c r="N265" s="12" t="s">
        <v>54</v>
      </c>
      <c r="O265" s="1">
        <f>SUM(O266:O266)</f>
        <v>7.5800000000000006E-2</v>
      </c>
      <c r="P265" s="34" t="s">
        <v>54</v>
      </c>
      <c r="AI265" s="12" t="s">
        <v>413</v>
      </c>
      <c r="AS265" s="1">
        <f>SUM(AJ266:AJ266)</f>
        <v>0</v>
      </c>
      <c r="AT265" s="1">
        <f>SUM(AK266:AK266)</f>
        <v>0</v>
      </c>
      <c r="AU265" s="1">
        <f>SUM(AL266:AL266)</f>
        <v>0</v>
      </c>
    </row>
    <row r="266" spans="1:76" x14ac:dyDescent="0.25">
      <c r="A266" s="2" t="s">
        <v>508</v>
      </c>
      <c r="B266" s="3" t="s">
        <v>413</v>
      </c>
      <c r="C266" s="3" t="s">
        <v>509</v>
      </c>
      <c r="D266" s="106" t="s">
        <v>510</v>
      </c>
      <c r="E266" s="107"/>
      <c r="F266" s="3" t="s">
        <v>511</v>
      </c>
      <c r="G266" s="35">
        <v>1</v>
      </c>
      <c r="H266" s="35"/>
      <c r="I266" s="36" t="s">
        <v>63</v>
      </c>
      <c r="J266" s="35">
        <f>G266*AO266</f>
        <v>0</v>
      </c>
      <c r="K266" s="35">
        <f>G266*AP266</f>
        <v>0</v>
      </c>
      <c r="L266" s="35">
        <f>G266*H266</f>
        <v>0</v>
      </c>
      <c r="M266" s="35">
        <f>L266*(1+BW266/100)</f>
        <v>0</v>
      </c>
      <c r="N266" s="35">
        <v>7.5800000000000006E-2</v>
      </c>
      <c r="O266" s="35">
        <f>G266*N266</f>
        <v>7.5800000000000006E-2</v>
      </c>
      <c r="P266" s="37" t="s">
        <v>219</v>
      </c>
      <c r="Z266" s="35">
        <f>IF(AQ266="5",BJ266,0)</f>
        <v>0</v>
      </c>
      <c r="AB266" s="35">
        <f>IF(AQ266="1",BH266,0)</f>
        <v>0</v>
      </c>
      <c r="AC266" s="35">
        <f>IF(AQ266="1",BI266,0)</f>
        <v>0</v>
      </c>
      <c r="AD266" s="35">
        <f>IF(AQ266="7",BH266,0)</f>
        <v>0</v>
      </c>
      <c r="AE266" s="35">
        <f>IF(AQ266="7",BI266,0)</f>
        <v>0</v>
      </c>
      <c r="AF266" s="35">
        <f>IF(AQ266="2",BH266,0)</f>
        <v>0</v>
      </c>
      <c r="AG266" s="35">
        <f>IF(AQ266="2",BI266,0)</f>
        <v>0</v>
      </c>
      <c r="AH266" s="35">
        <f>IF(AQ266="0",BJ266,0)</f>
        <v>0</v>
      </c>
      <c r="AI266" s="12" t="s">
        <v>413</v>
      </c>
      <c r="AJ266" s="35">
        <f>IF(AN266=0,L266,0)</f>
        <v>0</v>
      </c>
      <c r="AK266" s="35">
        <f>IF(AN266=12,L266,0)</f>
        <v>0</v>
      </c>
      <c r="AL266" s="35">
        <f>IF(AN266=21,L266,0)</f>
        <v>0</v>
      </c>
      <c r="AN266" s="35">
        <v>21</v>
      </c>
      <c r="AO266" s="35">
        <f>H266*0.809880543</f>
        <v>0</v>
      </c>
      <c r="AP266" s="35">
        <f>H266*(1-0.809880543)</f>
        <v>0</v>
      </c>
      <c r="AQ266" s="36" t="s">
        <v>99</v>
      </c>
      <c r="AV266" s="35">
        <f>AW266+AX266</f>
        <v>0</v>
      </c>
      <c r="AW266" s="35">
        <f>G266*AO266</f>
        <v>0</v>
      </c>
      <c r="AX266" s="35">
        <f>G266*AP266</f>
        <v>0</v>
      </c>
      <c r="AY266" s="36" t="s">
        <v>512</v>
      </c>
      <c r="AZ266" s="36" t="s">
        <v>513</v>
      </c>
      <c r="BA266" s="12" t="s">
        <v>418</v>
      </c>
      <c r="BC266" s="35">
        <f>AW266+AX266</f>
        <v>0</v>
      </c>
      <c r="BD266" s="35">
        <f>H266/(100-BE266)*100</f>
        <v>0</v>
      </c>
      <c r="BE266" s="35">
        <v>0</v>
      </c>
      <c r="BF266" s="35">
        <f>O266</f>
        <v>7.5800000000000006E-2</v>
      </c>
      <c r="BH266" s="35">
        <f>G266*AO266</f>
        <v>0</v>
      </c>
      <c r="BI266" s="35">
        <f>G266*AP266</f>
        <v>0</v>
      </c>
      <c r="BJ266" s="35">
        <f>G266*H266</f>
        <v>0</v>
      </c>
      <c r="BK266" s="35"/>
      <c r="BL266" s="35">
        <v>721</v>
      </c>
      <c r="BW266" s="35" t="str">
        <f>I266</f>
        <v>21</v>
      </c>
      <c r="BX266" s="4" t="s">
        <v>510</v>
      </c>
    </row>
    <row r="267" spans="1:76" x14ac:dyDescent="0.25">
      <c r="A267" s="31" t="s">
        <v>54</v>
      </c>
      <c r="B267" s="32" t="s">
        <v>413</v>
      </c>
      <c r="C267" s="32" t="s">
        <v>514</v>
      </c>
      <c r="D267" s="164" t="s">
        <v>515</v>
      </c>
      <c r="E267" s="165"/>
      <c r="F267" s="33" t="s">
        <v>3</v>
      </c>
      <c r="G267" s="33" t="s">
        <v>3</v>
      </c>
      <c r="H267" s="33"/>
      <c r="I267" s="33" t="s">
        <v>3</v>
      </c>
      <c r="J267" s="1">
        <f>SUM(J268:J283)</f>
        <v>0</v>
      </c>
      <c r="K267" s="1">
        <f>SUM(K268:K283)</f>
        <v>0</v>
      </c>
      <c r="L267" s="1">
        <f>SUM(L268:L283)</f>
        <v>0</v>
      </c>
      <c r="M267" s="1">
        <f>SUM(M268:M283)</f>
        <v>0</v>
      </c>
      <c r="N267" s="12" t="s">
        <v>54</v>
      </c>
      <c r="O267" s="1">
        <f>SUM(O268:O283)</f>
        <v>1.7930887800000002</v>
      </c>
      <c r="P267" s="34" t="s">
        <v>54</v>
      </c>
      <c r="AI267" s="12" t="s">
        <v>413</v>
      </c>
      <c r="AS267" s="1">
        <f>SUM(AJ268:AJ283)</f>
        <v>0</v>
      </c>
      <c r="AT267" s="1">
        <f>SUM(AK268:AK283)</f>
        <v>0</v>
      </c>
      <c r="AU267" s="1">
        <f>SUM(AL268:AL283)</f>
        <v>0</v>
      </c>
    </row>
    <row r="268" spans="1:76" x14ac:dyDescent="0.25">
      <c r="A268" s="2" t="s">
        <v>516</v>
      </c>
      <c r="B268" s="3" t="s">
        <v>413</v>
      </c>
      <c r="C268" s="3" t="s">
        <v>517</v>
      </c>
      <c r="D268" s="106" t="s">
        <v>518</v>
      </c>
      <c r="E268" s="107"/>
      <c r="F268" s="3" t="s">
        <v>62</v>
      </c>
      <c r="G268" s="35">
        <v>15.6</v>
      </c>
      <c r="H268" s="35"/>
      <c r="I268" s="36" t="s">
        <v>63</v>
      </c>
      <c r="J268" s="35">
        <f>G268*AO268</f>
        <v>0</v>
      </c>
      <c r="K268" s="35">
        <f>G268*AP268</f>
        <v>0</v>
      </c>
      <c r="L268" s="35">
        <f>G268*H268</f>
        <v>0</v>
      </c>
      <c r="M268" s="35">
        <f>L268*(1+BW268/100)</f>
        <v>0</v>
      </c>
      <c r="N268" s="35">
        <v>4.45E-3</v>
      </c>
      <c r="O268" s="35">
        <f>G268*N268</f>
        <v>6.9419999999999996E-2</v>
      </c>
      <c r="P268" s="37" t="s">
        <v>64</v>
      </c>
      <c r="Z268" s="35">
        <f>IF(AQ268="5",BJ268,0)</f>
        <v>0</v>
      </c>
      <c r="AB268" s="35">
        <f>IF(AQ268="1",BH268,0)</f>
        <v>0</v>
      </c>
      <c r="AC268" s="35">
        <f>IF(AQ268="1",BI268,0)</f>
        <v>0</v>
      </c>
      <c r="AD268" s="35">
        <f>IF(AQ268="7",BH268,0)</f>
        <v>0</v>
      </c>
      <c r="AE268" s="35">
        <f>IF(AQ268="7",BI268,0)</f>
        <v>0</v>
      </c>
      <c r="AF268" s="35">
        <f>IF(AQ268="2",BH268,0)</f>
        <v>0</v>
      </c>
      <c r="AG268" s="35">
        <f>IF(AQ268="2",BI268,0)</f>
        <v>0</v>
      </c>
      <c r="AH268" s="35">
        <f>IF(AQ268="0",BJ268,0)</f>
        <v>0</v>
      </c>
      <c r="AI268" s="12" t="s">
        <v>413</v>
      </c>
      <c r="AJ268" s="35">
        <f>IF(AN268=0,L268,0)</f>
        <v>0</v>
      </c>
      <c r="AK268" s="35">
        <f>IF(AN268=12,L268,0)</f>
        <v>0</v>
      </c>
      <c r="AL268" s="35">
        <f>IF(AN268=21,L268,0)</f>
        <v>0</v>
      </c>
      <c r="AN268" s="35">
        <v>21</v>
      </c>
      <c r="AO268" s="35">
        <f>H268*0</f>
        <v>0</v>
      </c>
      <c r="AP268" s="35">
        <f>H268*(1-0)</f>
        <v>0</v>
      </c>
      <c r="AQ268" s="36" t="s">
        <v>99</v>
      </c>
      <c r="AV268" s="35">
        <f>AW268+AX268</f>
        <v>0</v>
      </c>
      <c r="AW268" s="35">
        <f>G268*AO268</f>
        <v>0</v>
      </c>
      <c r="AX268" s="35">
        <f>G268*AP268</f>
        <v>0</v>
      </c>
      <c r="AY268" s="36" t="s">
        <v>519</v>
      </c>
      <c r="AZ268" s="36" t="s">
        <v>520</v>
      </c>
      <c r="BA268" s="12" t="s">
        <v>418</v>
      </c>
      <c r="BC268" s="35">
        <f>AW268+AX268</f>
        <v>0</v>
      </c>
      <c r="BD268" s="35">
        <f>H268/(100-BE268)*100</f>
        <v>0</v>
      </c>
      <c r="BE268" s="35">
        <v>0</v>
      </c>
      <c r="BF268" s="35">
        <f>O268</f>
        <v>6.9419999999999996E-2</v>
      </c>
      <c r="BH268" s="35">
        <f>G268*AO268</f>
        <v>0</v>
      </c>
      <c r="BI268" s="35">
        <f>G268*AP268</f>
        <v>0</v>
      </c>
      <c r="BJ268" s="35">
        <f>G268*H268</f>
        <v>0</v>
      </c>
      <c r="BK268" s="35"/>
      <c r="BL268" s="35">
        <v>764</v>
      </c>
      <c r="BW268" s="35" t="str">
        <f>I268</f>
        <v>21</v>
      </c>
      <c r="BX268" s="4" t="s">
        <v>518</v>
      </c>
    </row>
    <row r="269" spans="1:76" x14ac:dyDescent="0.25">
      <c r="A269" s="38"/>
      <c r="D269" s="39" t="s">
        <v>521</v>
      </c>
      <c r="E269" s="39" t="s">
        <v>54</v>
      </c>
      <c r="G269" s="40">
        <v>15.6</v>
      </c>
      <c r="P269" s="41"/>
    </row>
    <row r="270" spans="1:76" x14ac:dyDescent="0.25">
      <c r="A270" s="2" t="s">
        <v>522</v>
      </c>
      <c r="B270" s="3" t="s">
        <v>413</v>
      </c>
      <c r="C270" s="3" t="s">
        <v>523</v>
      </c>
      <c r="D270" s="106" t="s">
        <v>524</v>
      </c>
      <c r="E270" s="107"/>
      <c r="F270" s="3" t="s">
        <v>62</v>
      </c>
      <c r="G270" s="35">
        <v>6.2</v>
      </c>
      <c r="H270" s="35"/>
      <c r="I270" s="36" t="s">
        <v>63</v>
      </c>
      <c r="J270" s="35">
        <f>G270*AO270</f>
        <v>0</v>
      </c>
      <c r="K270" s="35">
        <f>G270*AP270</f>
        <v>0</v>
      </c>
      <c r="L270" s="35">
        <f>G270*H270</f>
        <v>0</v>
      </c>
      <c r="M270" s="35">
        <f>L270*(1+BW270/100)</f>
        <v>0</v>
      </c>
      <c r="N270" s="35">
        <v>3.5599999999999998E-3</v>
      </c>
      <c r="O270" s="35">
        <f>G270*N270</f>
        <v>2.2071999999999998E-2</v>
      </c>
      <c r="P270" s="37" t="s">
        <v>64</v>
      </c>
      <c r="Z270" s="35">
        <f>IF(AQ270="5",BJ270,0)</f>
        <v>0</v>
      </c>
      <c r="AB270" s="35">
        <f>IF(AQ270="1",BH270,0)</f>
        <v>0</v>
      </c>
      <c r="AC270" s="35">
        <f>IF(AQ270="1",BI270,0)</f>
        <v>0</v>
      </c>
      <c r="AD270" s="35">
        <f>IF(AQ270="7",BH270,0)</f>
        <v>0</v>
      </c>
      <c r="AE270" s="35">
        <f>IF(AQ270="7",BI270,0)</f>
        <v>0</v>
      </c>
      <c r="AF270" s="35">
        <f>IF(AQ270="2",BH270,0)</f>
        <v>0</v>
      </c>
      <c r="AG270" s="35">
        <f>IF(AQ270="2",BI270,0)</f>
        <v>0</v>
      </c>
      <c r="AH270" s="35">
        <f>IF(AQ270="0",BJ270,0)</f>
        <v>0</v>
      </c>
      <c r="AI270" s="12" t="s">
        <v>413</v>
      </c>
      <c r="AJ270" s="35">
        <f>IF(AN270=0,L270,0)</f>
        <v>0</v>
      </c>
      <c r="AK270" s="35">
        <f>IF(AN270=12,L270,0)</f>
        <v>0</v>
      </c>
      <c r="AL270" s="35">
        <f>IF(AN270=21,L270,0)</f>
        <v>0</v>
      </c>
      <c r="AN270" s="35">
        <v>21</v>
      </c>
      <c r="AO270" s="35">
        <f>H270*0</f>
        <v>0</v>
      </c>
      <c r="AP270" s="35">
        <f>H270*(1-0)</f>
        <v>0</v>
      </c>
      <c r="AQ270" s="36" t="s">
        <v>99</v>
      </c>
      <c r="AV270" s="35">
        <f>AW270+AX270</f>
        <v>0</v>
      </c>
      <c r="AW270" s="35">
        <f>G270*AO270</f>
        <v>0</v>
      </c>
      <c r="AX270" s="35">
        <f>G270*AP270</f>
        <v>0</v>
      </c>
      <c r="AY270" s="36" t="s">
        <v>519</v>
      </c>
      <c r="AZ270" s="36" t="s">
        <v>520</v>
      </c>
      <c r="BA270" s="12" t="s">
        <v>418</v>
      </c>
      <c r="BC270" s="35">
        <f>AW270+AX270</f>
        <v>0</v>
      </c>
      <c r="BD270" s="35">
        <f>H270/(100-BE270)*100</f>
        <v>0</v>
      </c>
      <c r="BE270" s="35">
        <v>0</v>
      </c>
      <c r="BF270" s="35">
        <f>O270</f>
        <v>2.2071999999999998E-2</v>
      </c>
      <c r="BH270" s="35">
        <f>G270*AO270</f>
        <v>0</v>
      </c>
      <c r="BI270" s="35">
        <f>G270*AP270</f>
        <v>0</v>
      </c>
      <c r="BJ270" s="35">
        <f>G270*H270</f>
        <v>0</v>
      </c>
      <c r="BK270" s="35"/>
      <c r="BL270" s="35">
        <v>764</v>
      </c>
      <c r="BW270" s="35" t="str">
        <f>I270</f>
        <v>21</v>
      </c>
      <c r="BX270" s="4" t="s">
        <v>524</v>
      </c>
    </row>
    <row r="271" spans="1:76" x14ac:dyDescent="0.25">
      <c r="A271" s="2" t="s">
        <v>525</v>
      </c>
      <c r="B271" s="3" t="s">
        <v>413</v>
      </c>
      <c r="C271" s="3" t="s">
        <v>526</v>
      </c>
      <c r="D271" s="106" t="s">
        <v>527</v>
      </c>
      <c r="E271" s="107"/>
      <c r="F271" s="3" t="s">
        <v>72</v>
      </c>
      <c r="G271" s="35">
        <v>103.85</v>
      </c>
      <c r="H271" s="35"/>
      <c r="I271" s="36" t="s">
        <v>63</v>
      </c>
      <c r="J271" s="35">
        <f>G271*AO271</f>
        <v>0</v>
      </c>
      <c r="K271" s="35">
        <f>G271*AP271</f>
        <v>0</v>
      </c>
      <c r="L271" s="35">
        <f>G271*H271</f>
        <v>0</v>
      </c>
      <c r="M271" s="35">
        <f>L271*(1+BW271/100)</f>
        <v>0</v>
      </c>
      <c r="N271" s="35">
        <v>7.3200000000000001E-3</v>
      </c>
      <c r="O271" s="35">
        <f>G271*N271</f>
        <v>0.76018200000000002</v>
      </c>
      <c r="P271" s="37" t="s">
        <v>64</v>
      </c>
      <c r="Z271" s="35">
        <f>IF(AQ271="5",BJ271,0)</f>
        <v>0</v>
      </c>
      <c r="AB271" s="35">
        <f>IF(AQ271="1",BH271,0)</f>
        <v>0</v>
      </c>
      <c r="AC271" s="35">
        <f>IF(AQ271="1",BI271,0)</f>
        <v>0</v>
      </c>
      <c r="AD271" s="35">
        <f>IF(AQ271="7",BH271,0)</f>
        <v>0</v>
      </c>
      <c r="AE271" s="35">
        <f>IF(AQ271="7",BI271,0)</f>
        <v>0</v>
      </c>
      <c r="AF271" s="35">
        <f>IF(AQ271="2",BH271,0)</f>
        <v>0</v>
      </c>
      <c r="AG271" s="35">
        <f>IF(AQ271="2",BI271,0)</f>
        <v>0</v>
      </c>
      <c r="AH271" s="35">
        <f>IF(AQ271="0",BJ271,0)</f>
        <v>0</v>
      </c>
      <c r="AI271" s="12" t="s">
        <v>413</v>
      </c>
      <c r="AJ271" s="35">
        <f>IF(AN271=0,L271,0)</f>
        <v>0</v>
      </c>
      <c r="AK271" s="35">
        <f>IF(AN271=12,L271,0)</f>
        <v>0</v>
      </c>
      <c r="AL271" s="35">
        <f>IF(AN271=21,L271,0)</f>
        <v>0</v>
      </c>
      <c r="AN271" s="35">
        <v>21</v>
      </c>
      <c r="AO271" s="35">
        <f>H271*0</f>
        <v>0</v>
      </c>
      <c r="AP271" s="35">
        <f>H271*(1-0)</f>
        <v>0</v>
      </c>
      <c r="AQ271" s="36" t="s">
        <v>99</v>
      </c>
      <c r="AV271" s="35">
        <f>AW271+AX271</f>
        <v>0</v>
      </c>
      <c r="AW271" s="35">
        <f>G271*AO271</f>
        <v>0</v>
      </c>
      <c r="AX271" s="35">
        <f>G271*AP271</f>
        <v>0</v>
      </c>
      <c r="AY271" s="36" t="s">
        <v>519</v>
      </c>
      <c r="AZ271" s="36" t="s">
        <v>520</v>
      </c>
      <c r="BA271" s="12" t="s">
        <v>418</v>
      </c>
      <c r="BC271" s="35">
        <f>AW271+AX271</f>
        <v>0</v>
      </c>
      <c r="BD271" s="35">
        <f>H271/(100-BE271)*100</f>
        <v>0</v>
      </c>
      <c r="BE271" s="35">
        <v>0</v>
      </c>
      <c r="BF271" s="35">
        <f>O271</f>
        <v>0.76018200000000002</v>
      </c>
      <c r="BH271" s="35">
        <f>G271*AO271</f>
        <v>0</v>
      </c>
      <c r="BI271" s="35">
        <f>G271*AP271</f>
        <v>0</v>
      </c>
      <c r="BJ271" s="35">
        <f>G271*H271</f>
        <v>0</v>
      </c>
      <c r="BK271" s="35"/>
      <c r="BL271" s="35">
        <v>764</v>
      </c>
      <c r="BW271" s="35" t="str">
        <f>I271</f>
        <v>21</v>
      </c>
      <c r="BX271" s="4" t="s">
        <v>527</v>
      </c>
    </row>
    <row r="272" spans="1:76" x14ac:dyDescent="0.25">
      <c r="A272" s="38"/>
      <c r="D272" s="39" t="s">
        <v>528</v>
      </c>
      <c r="E272" s="39" t="s">
        <v>54</v>
      </c>
      <c r="G272" s="40">
        <v>103.85</v>
      </c>
      <c r="P272" s="41"/>
    </row>
    <row r="273" spans="1:76" ht="25.5" x14ac:dyDescent="0.25">
      <c r="A273" s="2" t="s">
        <v>529</v>
      </c>
      <c r="B273" s="3" t="s">
        <v>413</v>
      </c>
      <c r="C273" s="3" t="s">
        <v>530</v>
      </c>
      <c r="D273" s="106" t="s">
        <v>531</v>
      </c>
      <c r="E273" s="107"/>
      <c r="F273" s="3" t="s">
        <v>62</v>
      </c>
      <c r="G273" s="35">
        <v>15.6</v>
      </c>
      <c r="H273" s="35"/>
      <c r="I273" s="36" t="s">
        <v>63</v>
      </c>
      <c r="J273" s="35">
        <f>G273*AO273</f>
        <v>0</v>
      </c>
      <c r="K273" s="35">
        <f>G273*AP273</f>
        <v>0</v>
      </c>
      <c r="L273" s="35">
        <f>G273*H273</f>
        <v>0</v>
      </c>
      <c r="M273" s="35">
        <f>L273*(1+BW273/100)</f>
        <v>0</v>
      </c>
      <c r="N273" s="35">
        <v>2.7499999999999998E-3</v>
      </c>
      <c r="O273" s="35">
        <f>G273*N273</f>
        <v>4.2899999999999994E-2</v>
      </c>
      <c r="P273" s="37" t="s">
        <v>64</v>
      </c>
      <c r="Z273" s="35">
        <f>IF(AQ273="5",BJ273,0)</f>
        <v>0</v>
      </c>
      <c r="AB273" s="35">
        <f>IF(AQ273="1",BH273,0)</f>
        <v>0</v>
      </c>
      <c r="AC273" s="35">
        <f>IF(AQ273="1",BI273,0)</f>
        <v>0</v>
      </c>
      <c r="AD273" s="35">
        <f>IF(AQ273="7",BH273,0)</f>
        <v>0</v>
      </c>
      <c r="AE273" s="35">
        <f>IF(AQ273="7",BI273,0)</f>
        <v>0</v>
      </c>
      <c r="AF273" s="35">
        <f>IF(AQ273="2",BH273,0)</f>
        <v>0</v>
      </c>
      <c r="AG273" s="35">
        <f>IF(AQ273="2",BI273,0)</f>
        <v>0</v>
      </c>
      <c r="AH273" s="35">
        <f>IF(AQ273="0",BJ273,0)</f>
        <v>0</v>
      </c>
      <c r="AI273" s="12" t="s">
        <v>413</v>
      </c>
      <c r="AJ273" s="35">
        <f>IF(AN273=0,L273,0)</f>
        <v>0</v>
      </c>
      <c r="AK273" s="35">
        <f>IF(AN273=12,L273,0)</f>
        <v>0</v>
      </c>
      <c r="AL273" s="35">
        <f>IF(AN273=21,L273,0)</f>
        <v>0</v>
      </c>
      <c r="AN273" s="35">
        <v>21</v>
      </c>
      <c r="AO273" s="35">
        <f>H273*0.747347211</f>
        <v>0</v>
      </c>
      <c r="AP273" s="35">
        <f>H273*(1-0.747347211)</f>
        <v>0</v>
      </c>
      <c r="AQ273" s="36" t="s">
        <v>99</v>
      </c>
      <c r="AV273" s="35">
        <f>AW273+AX273</f>
        <v>0</v>
      </c>
      <c r="AW273" s="35">
        <f>G273*AO273</f>
        <v>0</v>
      </c>
      <c r="AX273" s="35">
        <f>G273*AP273</f>
        <v>0</v>
      </c>
      <c r="AY273" s="36" t="s">
        <v>519</v>
      </c>
      <c r="AZ273" s="36" t="s">
        <v>520</v>
      </c>
      <c r="BA273" s="12" t="s">
        <v>418</v>
      </c>
      <c r="BC273" s="35">
        <f>AW273+AX273</f>
        <v>0</v>
      </c>
      <c r="BD273" s="35">
        <f>H273/(100-BE273)*100</f>
        <v>0</v>
      </c>
      <c r="BE273" s="35">
        <v>0</v>
      </c>
      <c r="BF273" s="35">
        <f>O273</f>
        <v>4.2899999999999994E-2</v>
      </c>
      <c r="BH273" s="35">
        <f>G273*AO273</f>
        <v>0</v>
      </c>
      <c r="BI273" s="35">
        <f>G273*AP273</f>
        <v>0</v>
      </c>
      <c r="BJ273" s="35">
        <f>G273*H273</f>
        <v>0</v>
      </c>
      <c r="BK273" s="35"/>
      <c r="BL273" s="35">
        <v>764</v>
      </c>
      <c r="BW273" s="35" t="str">
        <f>I273</f>
        <v>21</v>
      </c>
      <c r="BX273" s="4" t="s">
        <v>531</v>
      </c>
    </row>
    <row r="274" spans="1:76" x14ac:dyDescent="0.25">
      <c r="A274" s="38"/>
      <c r="D274" s="39" t="s">
        <v>521</v>
      </c>
      <c r="E274" s="39" t="s">
        <v>54</v>
      </c>
      <c r="G274" s="40">
        <v>15.6</v>
      </c>
      <c r="P274" s="41"/>
    </row>
    <row r="275" spans="1:76" x14ac:dyDescent="0.25">
      <c r="A275" s="2" t="s">
        <v>532</v>
      </c>
      <c r="B275" s="3" t="s">
        <v>413</v>
      </c>
      <c r="C275" s="3" t="s">
        <v>533</v>
      </c>
      <c r="D275" s="106" t="s">
        <v>534</v>
      </c>
      <c r="E275" s="107"/>
      <c r="F275" s="3" t="s">
        <v>511</v>
      </c>
      <c r="G275" s="35">
        <v>1</v>
      </c>
      <c r="H275" s="35"/>
      <c r="I275" s="36" t="s">
        <v>63</v>
      </c>
      <c r="J275" s="35">
        <f>G275*AO275</f>
        <v>0</v>
      </c>
      <c r="K275" s="35">
        <f>G275*AP275</f>
        <v>0</v>
      </c>
      <c r="L275" s="35">
        <f>G275*H275</f>
        <v>0</v>
      </c>
      <c r="M275" s="35">
        <f>L275*(1+BW275/100)</f>
        <v>0</v>
      </c>
      <c r="N275" s="35">
        <v>3.4000000000000002E-4</v>
      </c>
      <c r="O275" s="35">
        <f>G275*N275</f>
        <v>3.4000000000000002E-4</v>
      </c>
      <c r="P275" s="37" t="s">
        <v>64</v>
      </c>
      <c r="Z275" s="35">
        <f>IF(AQ275="5",BJ275,0)</f>
        <v>0</v>
      </c>
      <c r="AB275" s="35">
        <f>IF(AQ275="1",BH275,0)</f>
        <v>0</v>
      </c>
      <c r="AC275" s="35">
        <f>IF(AQ275="1",BI275,0)</f>
        <v>0</v>
      </c>
      <c r="AD275" s="35">
        <f>IF(AQ275="7",BH275,0)</f>
        <v>0</v>
      </c>
      <c r="AE275" s="35">
        <f>IF(AQ275="7",BI275,0)</f>
        <v>0</v>
      </c>
      <c r="AF275" s="35">
        <f>IF(AQ275="2",BH275,0)</f>
        <v>0</v>
      </c>
      <c r="AG275" s="35">
        <f>IF(AQ275="2",BI275,0)</f>
        <v>0</v>
      </c>
      <c r="AH275" s="35">
        <f>IF(AQ275="0",BJ275,0)</f>
        <v>0</v>
      </c>
      <c r="AI275" s="12" t="s">
        <v>413</v>
      </c>
      <c r="AJ275" s="35">
        <f>IF(AN275=0,L275,0)</f>
        <v>0</v>
      </c>
      <c r="AK275" s="35">
        <f>IF(AN275=12,L275,0)</f>
        <v>0</v>
      </c>
      <c r="AL275" s="35">
        <f>IF(AN275=21,L275,0)</f>
        <v>0</v>
      </c>
      <c r="AN275" s="35">
        <v>21</v>
      </c>
      <c r="AO275" s="35">
        <f>H275*0.560533752</f>
        <v>0</v>
      </c>
      <c r="AP275" s="35">
        <f>H275*(1-0.560533752)</f>
        <v>0</v>
      </c>
      <c r="AQ275" s="36" t="s">
        <v>99</v>
      </c>
      <c r="AV275" s="35">
        <f>AW275+AX275</f>
        <v>0</v>
      </c>
      <c r="AW275" s="35">
        <f>G275*AO275</f>
        <v>0</v>
      </c>
      <c r="AX275" s="35">
        <f>G275*AP275</f>
        <v>0</v>
      </c>
      <c r="AY275" s="36" t="s">
        <v>519</v>
      </c>
      <c r="AZ275" s="36" t="s">
        <v>520</v>
      </c>
      <c r="BA275" s="12" t="s">
        <v>418</v>
      </c>
      <c r="BC275" s="35">
        <f>AW275+AX275</f>
        <v>0</v>
      </c>
      <c r="BD275" s="35">
        <f>H275/(100-BE275)*100</f>
        <v>0</v>
      </c>
      <c r="BE275" s="35">
        <v>0</v>
      </c>
      <c r="BF275" s="35">
        <f>O275</f>
        <v>3.4000000000000002E-4</v>
      </c>
      <c r="BH275" s="35">
        <f>G275*AO275</f>
        <v>0</v>
      </c>
      <c r="BI275" s="35">
        <f>G275*AP275</f>
        <v>0</v>
      </c>
      <c r="BJ275" s="35">
        <f>G275*H275</f>
        <v>0</v>
      </c>
      <c r="BK275" s="35"/>
      <c r="BL275" s="35">
        <v>764</v>
      </c>
      <c r="BW275" s="35" t="str">
        <f>I275</f>
        <v>21</v>
      </c>
      <c r="BX275" s="4" t="s">
        <v>534</v>
      </c>
    </row>
    <row r="276" spans="1:76" ht="25.5" x14ac:dyDescent="0.25">
      <c r="A276" s="2" t="s">
        <v>535</v>
      </c>
      <c r="B276" s="3" t="s">
        <v>413</v>
      </c>
      <c r="C276" s="3" t="s">
        <v>536</v>
      </c>
      <c r="D276" s="106" t="s">
        <v>537</v>
      </c>
      <c r="E276" s="107"/>
      <c r="F276" s="3" t="s">
        <v>62</v>
      </c>
      <c r="G276" s="35">
        <v>6.2</v>
      </c>
      <c r="H276" s="35"/>
      <c r="I276" s="36" t="s">
        <v>63</v>
      </c>
      <c r="J276" s="35">
        <f>G276*AO276</f>
        <v>0</v>
      </c>
      <c r="K276" s="35">
        <f>G276*AP276</f>
        <v>0</v>
      </c>
      <c r="L276" s="35">
        <f>G276*H276</f>
        <v>0</v>
      </c>
      <c r="M276" s="35">
        <f>L276*(1+BW276/100)</f>
        <v>0</v>
      </c>
      <c r="N276" s="35">
        <v>3.4499999999999999E-3</v>
      </c>
      <c r="O276" s="35">
        <f>G276*N276</f>
        <v>2.1389999999999999E-2</v>
      </c>
      <c r="P276" s="37" t="s">
        <v>64</v>
      </c>
      <c r="Z276" s="35">
        <f>IF(AQ276="5",BJ276,0)</f>
        <v>0</v>
      </c>
      <c r="AB276" s="35">
        <f>IF(AQ276="1",BH276,0)</f>
        <v>0</v>
      </c>
      <c r="AC276" s="35">
        <f>IF(AQ276="1",BI276,0)</f>
        <v>0</v>
      </c>
      <c r="AD276" s="35">
        <f>IF(AQ276="7",BH276,0)</f>
        <v>0</v>
      </c>
      <c r="AE276" s="35">
        <f>IF(AQ276="7",BI276,0)</f>
        <v>0</v>
      </c>
      <c r="AF276" s="35">
        <f>IF(AQ276="2",BH276,0)</f>
        <v>0</v>
      </c>
      <c r="AG276" s="35">
        <f>IF(AQ276="2",BI276,0)</f>
        <v>0</v>
      </c>
      <c r="AH276" s="35">
        <f>IF(AQ276="0",BJ276,0)</f>
        <v>0</v>
      </c>
      <c r="AI276" s="12" t="s">
        <v>413</v>
      </c>
      <c r="AJ276" s="35">
        <f>IF(AN276=0,L276,0)</f>
        <v>0</v>
      </c>
      <c r="AK276" s="35">
        <f>IF(AN276=12,L276,0)</f>
        <v>0</v>
      </c>
      <c r="AL276" s="35">
        <f>IF(AN276=21,L276,0)</f>
        <v>0</v>
      </c>
      <c r="AN276" s="35">
        <v>21</v>
      </c>
      <c r="AO276" s="35">
        <f>H276*0.81728482</f>
        <v>0</v>
      </c>
      <c r="AP276" s="35">
        <f>H276*(1-0.81728482)</f>
        <v>0</v>
      </c>
      <c r="AQ276" s="36" t="s">
        <v>99</v>
      </c>
      <c r="AV276" s="35">
        <f>AW276+AX276</f>
        <v>0</v>
      </c>
      <c r="AW276" s="35">
        <f>G276*AO276</f>
        <v>0</v>
      </c>
      <c r="AX276" s="35">
        <f>G276*AP276</f>
        <v>0</v>
      </c>
      <c r="AY276" s="36" t="s">
        <v>519</v>
      </c>
      <c r="AZ276" s="36" t="s">
        <v>520</v>
      </c>
      <c r="BA276" s="12" t="s">
        <v>418</v>
      </c>
      <c r="BC276" s="35">
        <f>AW276+AX276</f>
        <v>0</v>
      </c>
      <c r="BD276" s="35">
        <f>H276/(100-BE276)*100</f>
        <v>0</v>
      </c>
      <c r="BE276" s="35">
        <v>0</v>
      </c>
      <c r="BF276" s="35">
        <f>O276</f>
        <v>2.1389999999999999E-2</v>
      </c>
      <c r="BH276" s="35">
        <f>G276*AO276</f>
        <v>0</v>
      </c>
      <c r="BI276" s="35">
        <f>G276*AP276</f>
        <v>0</v>
      </c>
      <c r="BJ276" s="35">
        <f>G276*H276</f>
        <v>0</v>
      </c>
      <c r="BK276" s="35"/>
      <c r="BL276" s="35">
        <v>764</v>
      </c>
      <c r="BW276" s="35" t="str">
        <f>I276</f>
        <v>21</v>
      </c>
      <c r="BX276" s="4" t="s">
        <v>537</v>
      </c>
    </row>
    <row r="277" spans="1:76" x14ac:dyDescent="0.25">
      <c r="A277" s="38"/>
      <c r="D277" s="39" t="s">
        <v>538</v>
      </c>
      <c r="E277" s="39" t="s">
        <v>54</v>
      </c>
      <c r="G277" s="40">
        <v>6.2</v>
      </c>
      <c r="P277" s="41"/>
    </row>
    <row r="278" spans="1:76" x14ac:dyDescent="0.25">
      <c r="A278" s="2" t="s">
        <v>539</v>
      </c>
      <c r="B278" s="3" t="s">
        <v>413</v>
      </c>
      <c r="C278" s="3" t="s">
        <v>540</v>
      </c>
      <c r="D278" s="106" t="s">
        <v>541</v>
      </c>
      <c r="E278" s="107"/>
      <c r="F278" s="3" t="s">
        <v>72</v>
      </c>
      <c r="G278" s="35">
        <v>103.85</v>
      </c>
      <c r="H278" s="35"/>
      <c r="I278" s="36" t="s">
        <v>63</v>
      </c>
      <c r="J278" s="35">
        <f>G278*AO278</f>
        <v>0</v>
      </c>
      <c r="K278" s="35">
        <f>G278*AP278</f>
        <v>0</v>
      </c>
      <c r="L278" s="35">
        <f>G278*H278</f>
        <v>0</v>
      </c>
      <c r="M278" s="35">
        <f>L278*(1+BW278/100)</f>
        <v>0</v>
      </c>
      <c r="N278" s="35">
        <v>1.48E-3</v>
      </c>
      <c r="O278" s="35">
        <f>G278*N278</f>
        <v>0.153698</v>
      </c>
      <c r="P278" s="37" t="s">
        <v>64</v>
      </c>
      <c r="Z278" s="35">
        <f>IF(AQ278="5",BJ278,0)</f>
        <v>0</v>
      </c>
      <c r="AB278" s="35">
        <f>IF(AQ278="1",BH278,0)</f>
        <v>0</v>
      </c>
      <c r="AC278" s="35">
        <f>IF(AQ278="1",BI278,0)</f>
        <v>0</v>
      </c>
      <c r="AD278" s="35">
        <f>IF(AQ278="7",BH278,0)</f>
        <v>0</v>
      </c>
      <c r="AE278" s="35">
        <f>IF(AQ278="7",BI278,0)</f>
        <v>0</v>
      </c>
      <c r="AF278" s="35">
        <f>IF(AQ278="2",BH278,0)</f>
        <v>0</v>
      </c>
      <c r="AG278" s="35">
        <f>IF(AQ278="2",BI278,0)</f>
        <v>0</v>
      </c>
      <c r="AH278" s="35">
        <f>IF(AQ278="0",BJ278,0)</f>
        <v>0</v>
      </c>
      <c r="AI278" s="12" t="s">
        <v>413</v>
      </c>
      <c r="AJ278" s="35">
        <f>IF(AN278=0,L278,0)</f>
        <v>0</v>
      </c>
      <c r="AK278" s="35">
        <f>IF(AN278=12,L278,0)</f>
        <v>0</v>
      </c>
      <c r="AL278" s="35">
        <f>IF(AN278=21,L278,0)</f>
        <v>0</v>
      </c>
      <c r="AN278" s="35">
        <v>21</v>
      </c>
      <c r="AO278" s="35">
        <f>H278*0.106461353</f>
        <v>0</v>
      </c>
      <c r="AP278" s="35">
        <f>H278*(1-0.106461353)</f>
        <v>0</v>
      </c>
      <c r="AQ278" s="36" t="s">
        <v>99</v>
      </c>
      <c r="AV278" s="35">
        <f>AW278+AX278</f>
        <v>0</v>
      </c>
      <c r="AW278" s="35">
        <f>G278*AO278</f>
        <v>0</v>
      </c>
      <c r="AX278" s="35">
        <f>G278*AP278</f>
        <v>0</v>
      </c>
      <c r="AY278" s="36" t="s">
        <v>519</v>
      </c>
      <c r="AZ278" s="36" t="s">
        <v>520</v>
      </c>
      <c r="BA278" s="12" t="s">
        <v>418</v>
      </c>
      <c r="BC278" s="35">
        <f>AW278+AX278</f>
        <v>0</v>
      </c>
      <c r="BD278" s="35">
        <f>H278/(100-BE278)*100</f>
        <v>0</v>
      </c>
      <c r="BE278" s="35">
        <v>0</v>
      </c>
      <c r="BF278" s="35">
        <f>O278</f>
        <v>0.153698</v>
      </c>
      <c r="BH278" s="35">
        <f>G278*AO278</f>
        <v>0</v>
      </c>
      <c r="BI278" s="35">
        <f>G278*AP278</f>
        <v>0</v>
      </c>
      <c r="BJ278" s="35">
        <f>G278*H278</f>
        <v>0</v>
      </c>
      <c r="BK278" s="35"/>
      <c r="BL278" s="35">
        <v>764</v>
      </c>
      <c r="BW278" s="35" t="str">
        <f>I278</f>
        <v>21</v>
      </c>
      <c r="BX278" s="4" t="s">
        <v>541</v>
      </c>
    </row>
    <row r="279" spans="1:76" x14ac:dyDescent="0.25">
      <c r="A279" s="38"/>
      <c r="D279" s="39" t="s">
        <v>528</v>
      </c>
      <c r="E279" s="39" t="s">
        <v>54</v>
      </c>
      <c r="G279" s="40">
        <v>103.85</v>
      </c>
      <c r="P279" s="41"/>
    </row>
    <row r="280" spans="1:76" ht="25.5" x14ac:dyDescent="0.25">
      <c r="A280" s="2" t="s">
        <v>542</v>
      </c>
      <c r="B280" s="3" t="s">
        <v>413</v>
      </c>
      <c r="C280" s="3" t="s">
        <v>543</v>
      </c>
      <c r="D280" s="106" t="s">
        <v>544</v>
      </c>
      <c r="E280" s="107"/>
      <c r="F280" s="3" t="s">
        <v>72</v>
      </c>
      <c r="G280" s="35">
        <v>106.96550000000001</v>
      </c>
      <c r="H280" s="35"/>
      <c r="I280" s="36" t="s">
        <v>63</v>
      </c>
      <c r="J280" s="35">
        <f>G280*AO280</f>
        <v>0</v>
      </c>
      <c r="K280" s="35">
        <f>G280*AP280</f>
        <v>0</v>
      </c>
      <c r="L280" s="35">
        <f>G280*H280</f>
        <v>0</v>
      </c>
      <c r="M280" s="35">
        <f>L280*(1+BW280/100)</f>
        <v>0</v>
      </c>
      <c r="N280" s="35">
        <v>6.7600000000000004E-3</v>
      </c>
      <c r="O280" s="35">
        <f>G280*N280</f>
        <v>0.72308678000000004</v>
      </c>
      <c r="P280" s="37" t="s">
        <v>219</v>
      </c>
      <c r="Z280" s="35">
        <f>IF(AQ280="5",BJ280,0)</f>
        <v>0</v>
      </c>
      <c r="AB280" s="35">
        <f>IF(AQ280="1",BH280,0)</f>
        <v>0</v>
      </c>
      <c r="AC280" s="35">
        <f>IF(AQ280="1",BI280,0)</f>
        <v>0</v>
      </c>
      <c r="AD280" s="35">
        <f>IF(AQ280="7",BH280,0)</f>
        <v>0</v>
      </c>
      <c r="AE280" s="35">
        <f>IF(AQ280="7",BI280,0)</f>
        <v>0</v>
      </c>
      <c r="AF280" s="35">
        <f>IF(AQ280="2",BH280,0)</f>
        <v>0</v>
      </c>
      <c r="AG280" s="35">
        <f>IF(AQ280="2",BI280,0)</f>
        <v>0</v>
      </c>
      <c r="AH280" s="35">
        <f>IF(AQ280="0",BJ280,0)</f>
        <v>0</v>
      </c>
      <c r="AI280" s="12" t="s">
        <v>413</v>
      </c>
      <c r="AJ280" s="35">
        <f>IF(AN280=0,L280,0)</f>
        <v>0</v>
      </c>
      <c r="AK280" s="35">
        <f>IF(AN280=12,L280,0)</f>
        <v>0</v>
      </c>
      <c r="AL280" s="35">
        <f>IF(AN280=21,L280,0)</f>
        <v>0</v>
      </c>
      <c r="AN280" s="35">
        <v>21</v>
      </c>
      <c r="AO280" s="35">
        <f>H280*1</f>
        <v>0</v>
      </c>
      <c r="AP280" s="35">
        <f>H280*(1-1)</f>
        <v>0</v>
      </c>
      <c r="AQ280" s="36" t="s">
        <v>99</v>
      </c>
      <c r="AV280" s="35">
        <f>AW280+AX280</f>
        <v>0</v>
      </c>
      <c r="AW280" s="35">
        <f>G280*AO280</f>
        <v>0</v>
      </c>
      <c r="AX280" s="35">
        <f>G280*AP280</f>
        <v>0</v>
      </c>
      <c r="AY280" s="36" t="s">
        <v>519</v>
      </c>
      <c r="AZ280" s="36" t="s">
        <v>520</v>
      </c>
      <c r="BA280" s="12" t="s">
        <v>418</v>
      </c>
      <c r="BC280" s="35">
        <f>AW280+AX280</f>
        <v>0</v>
      </c>
      <c r="BD280" s="35">
        <f>H280/(100-BE280)*100</f>
        <v>0</v>
      </c>
      <c r="BE280" s="35">
        <v>0</v>
      </c>
      <c r="BF280" s="35">
        <f>O280</f>
        <v>0.72308678000000004</v>
      </c>
      <c r="BH280" s="35">
        <f>G280*AO280</f>
        <v>0</v>
      </c>
      <c r="BI280" s="35">
        <f>G280*AP280</f>
        <v>0</v>
      </c>
      <c r="BJ280" s="35">
        <f>G280*H280</f>
        <v>0</v>
      </c>
      <c r="BK280" s="35"/>
      <c r="BL280" s="35">
        <v>764</v>
      </c>
      <c r="BW280" s="35" t="str">
        <f>I280</f>
        <v>21</v>
      </c>
      <c r="BX280" s="4" t="s">
        <v>544</v>
      </c>
    </row>
    <row r="281" spans="1:76" x14ac:dyDescent="0.25">
      <c r="A281" s="38"/>
      <c r="D281" s="39" t="s">
        <v>528</v>
      </c>
      <c r="E281" s="39" t="s">
        <v>54</v>
      </c>
      <c r="G281" s="40">
        <v>103.85</v>
      </c>
      <c r="P281" s="41"/>
    </row>
    <row r="282" spans="1:76" x14ac:dyDescent="0.25">
      <c r="A282" s="38"/>
      <c r="D282" s="39" t="s">
        <v>545</v>
      </c>
      <c r="E282" s="39" t="s">
        <v>54</v>
      </c>
      <c r="G282" s="40">
        <v>3.1154999999999999</v>
      </c>
      <c r="P282" s="41"/>
    </row>
    <row r="283" spans="1:76" x14ac:dyDescent="0.25">
      <c r="A283" s="2" t="s">
        <v>546</v>
      </c>
      <c r="B283" s="3" t="s">
        <v>413</v>
      </c>
      <c r="C283" s="3" t="s">
        <v>547</v>
      </c>
      <c r="D283" s="106" t="s">
        <v>548</v>
      </c>
      <c r="E283" s="107"/>
      <c r="F283" s="3" t="s">
        <v>210</v>
      </c>
      <c r="G283" s="35">
        <v>1.7682800000000001</v>
      </c>
      <c r="H283" s="35"/>
      <c r="I283" s="36" t="s">
        <v>63</v>
      </c>
      <c r="J283" s="35">
        <f>G283*AO283</f>
        <v>0</v>
      </c>
      <c r="K283" s="35">
        <f>G283*AP283</f>
        <v>0</v>
      </c>
      <c r="L283" s="35">
        <f>G283*H283</f>
        <v>0</v>
      </c>
      <c r="M283" s="35">
        <f>L283*(1+BW283/100)</f>
        <v>0</v>
      </c>
      <c r="N283" s="35">
        <v>0</v>
      </c>
      <c r="O283" s="35">
        <f>G283*N283</f>
        <v>0</v>
      </c>
      <c r="P283" s="37" t="s">
        <v>64</v>
      </c>
      <c r="Z283" s="35">
        <f>IF(AQ283="5",BJ283,0)</f>
        <v>0</v>
      </c>
      <c r="AB283" s="35">
        <f>IF(AQ283="1",BH283,0)</f>
        <v>0</v>
      </c>
      <c r="AC283" s="35">
        <f>IF(AQ283="1",BI283,0)</f>
        <v>0</v>
      </c>
      <c r="AD283" s="35">
        <f>IF(AQ283="7",BH283,0)</f>
        <v>0</v>
      </c>
      <c r="AE283" s="35">
        <f>IF(AQ283="7",BI283,0)</f>
        <v>0</v>
      </c>
      <c r="AF283" s="35">
        <f>IF(AQ283="2",BH283,0)</f>
        <v>0</v>
      </c>
      <c r="AG283" s="35">
        <f>IF(AQ283="2",BI283,0)</f>
        <v>0</v>
      </c>
      <c r="AH283" s="35">
        <f>IF(AQ283="0",BJ283,0)</f>
        <v>0</v>
      </c>
      <c r="AI283" s="12" t="s">
        <v>413</v>
      </c>
      <c r="AJ283" s="35">
        <f>IF(AN283=0,L283,0)</f>
        <v>0</v>
      </c>
      <c r="AK283" s="35">
        <f>IF(AN283=12,L283,0)</f>
        <v>0</v>
      </c>
      <c r="AL283" s="35">
        <f>IF(AN283=21,L283,0)</f>
        <v>0</v>
      </c>
      <c r="AN283" s="35">
        <v>21</v>
      </c>
      <c r="AO283" s="35">
        <f>H283*0</f>
        <v>0</v>
      </c>
      <c r="AP283" s="35">
        <f>H283*(1-0)</f>
        <v>0</v>
      </c>
      <c r="AQ283" s="36" t="s">
        <v>88</v>
      </c>
      <c r="AV283" s="35">
        <f>AW283+AX283</f>
        <v>0</v>
      </c>
      <c r="AW283" s="35">
        <f>G283*AO283</f>
        <v>0</v>
      </c>
      <c r="AX283" s="35">
        <f>G283*AP283</f>
        <v>0</v>
      </c>
      <c r="AY283" s="36" t="s">
        <v>519</v>
      </c>
      <c r="AZ283" s="36" t="s">
        <v>520</v>
      </c>
      <c r="BA283" s="12" t="s">
        <v>418</v>
      </c>
      <c r="BC283" s="35">
        <f>AW283+AX283</f>
        <v>0</v>
      </c>
      <c r="BD283" s="35">
        <f>H283/(100-BE283)*100</f>
        <v>0</v>
      </c>
      <c r="BE283" s="35">
        <v>0</v>
      </c>
      <c r="BF283" s="35">
        <f>O283</f>
        <v>0</v>
      </c>
      <c r="BH283" s="35">
        <f>G283*AO283</f>
        <v>0</v>
      </c>
      <c r="BI283" s="35">
        <f>G283*AP283</f>
        <v>0</v>
      </c>
      <c r="BJ283" s="35">
        <f>G283*H283</f>
        <v>0</v>
      </c>
      <c r="BK283" s="35"/>
      <c r="BL283" s="35">
        <v>764</v>
      </c>
      <c r="BW283" s="35" t="str">
        <f>I283</f>
        <v>21</v>
      </c>
      <c r="BX283" s="4" t="s">
        <v>548</v>
      </c>
    </row>
    <row r="284" spans="1:76" x14ac:dyDescent="0.25">
      <c r="A284" s="31" t="s">
        <v>54</v>
      </c>
      <c r="B284" s="32" t="s">
        <v>413</v>
      </c>
      <c r="C284" s="32" t="s">
        <v>549</v>
      </c>
      <c r="D284" s="164" t="s">
        <v>550</v>
      </c>
      <c r="E284" s="165"/>
      <c r="F284" s="33" t="s">
        <v>3</v>
      </c>
      <c r="G284" s="33" t="s">
        <v>3</v>
      </c>
      <c r="H284" s="33"/>
      <c r="I284" s="33" t="s">
        <v>3</v>
      </c>
      <c r="J284" s="1">
        <f>SUM(J285:J311)</f>
        <v>0</v>
      </c>
      <c r="K284" s="1">
        <f>SUM(K285:K311)</f>
        <v>0</v>
      </c>
      <c r="L284" s="1">
        <f>SUM(L285:L311)</f>
        <v>0</v>
      </c>
      <c r="M284" s="1">
        <f>SUM(M285:M311)</f>
        <v>0</v>
      </c>
      <c r="N284" s="12" t="s">
        <v>54</v>
      </c>
      <c r="O284" s="1">
        <f>SUM(O285:O311)</f>
        <v>11.550044539999998</v>
      </c>
      <c r="P284" s="34" t="s">
        <v>54</v>
      </c>
      <c r="AI284" s="12" t="s">
        <v>413</v>
      </c>
      <c r="AS284" s="1">
        <f>SUM(AJ285:AJ311)</f>
        <v>0</v>
      </c>
      <c r="AT284" s="1">
        <f>SUM(AK285:AK311)</f>
        <v>0</v>
      </c>
      <c r="AU284" s="1">
        <f>SUM(AL285:AL311)</f>
        <v>0</v>
      </c>
    </row>
    <row r="285" spans="1:76" ht="25.5" x14ac:dyDescent="0.25">
      <c r="A285" s="2" t="s">
        <v>551</v>
      </c>
      <c r="B285" s="3" t="s">
        <v>413</v>
      </c>
      <c r="C285" s="3" t="s">
        <v>552</v>
      </c>
      <c r="D285" s="106" t="s">
        <v>553</v>
      </c>
      <c r="E285" s="107"/>
      <c r="F285" s="3" t="s">
        <v>279</v>
      </c>
      <c r="G285" s="35">
        <v>7754.2813999999998</v>
      </c>
      <c r="H285" s="35"/>
      <c r="I285" s="36" t="s">
        <v>63</v>
      </c>
      <c r="J285" s="35">
        <f>G285*AO285</f>
        <v>0</v>
      </c>
      <c r="K285" s="35">
        <f>G285*AP285</f>
        <v>0</v>
      </c>
      <c r="L285" s="35">
        <f>G285*H285</f>
        <v>0</v>
      </c>
      <c r="M285" s="35">
        <f>L285*(1+BW285/100)</f>
        <v>0</v>
      </c>
      <c r="N285" s="35">
        <v>1.0499999999999999E-3</v>
      </c>
      <c r="O285" s="35">
        <f>G285*N285</f>
        <v>8.1419954699999995</v>
      </c>
      <c r="P285" s="37" t="s">
        <v>64</v>
      </c>
      <c r="Z285" s="35">
        <f>IF(AQ285="5",BJ285,0)</f>
        <v>0</v>
      </c>
      <c r="AB285" s="35">
        <f>IF(AQ285="1",BH285,0)</f>
        <v>0</v>
      </c>
      <c r="AC285" s="35">
        <f>IF(AQ285="1",BI285,0)</f>
        <v>0</v>
      </c>
      <c r="AD285" s="35">
        <f>IF(AQ285="7",BH285,0)</f>
        <v>0</v>
      </c>
      <c r="AE285" s="35">
        <f>IF(AQ285="7",BI285,0)</f>
        <v>0</v>
      </c>
      <c r="AF285" s="35">
        <f>IF(AQ285="2",BH285,0)</f>
        <v>0</v>
      </c>
      <c r="AG285" s="35">
        <f>IF(AQ285="2",BI285,0)</f>
        <v>0</v>
      </c>
      <c r="AH285" s="35">
        <f>IF(AQ285="0",BJ285,0)</f>
        <v>0</v>
      </c>
      <c r="AI285" s="12" t="s">
        <v>413</v>
      </c>
      <c r="AJ285" s="35">
        <f>IF(AN285=0,L285,0)</f>
        <v>0</v>
      </c>
      <c r="AK285" s="35">
        <f>IF(AN285=12,L285,0)</f>
        <v>0</v>
      </c>
      <c r="AL285" s="35">
        <f>IF(AN285=21,L285,0)</f>
        <v>0</v>
      </c>
      <c r="AN285" s="35">
        <v>21</v>
      </c>
      <c r="AO285" s="35">
        <f>H285*0.282825483</f>
        <v>0</v>
      </c>
      <c r="AP285" s="35">
        <f>H285*(1-0.282825483)</f>
        <v>0</v>
      </c>
      <c r="AQ285" s="36" t="s">
        <v>99</v>
      </c>
      <c r="AV285" s="35">
        <f>AW285+AX285</f>
        <v>0</v>
      </c>
      <c r="AW285" s="35">
        <f>G285*AO285</f>
        <v>0</v>
      </c>
      <c r="AX285" s="35">
        <f>G285*AP285</f>
        <v>0</v>
      </c>
      <c r="AY285" s="36" t="s">
        <v>554</v>
      </c>
      <c r="AZ285" s="36" t="s">
        <v>520</v>
      </c>
      <c r="BA285" s="12" t="s">
        <v>418</v>
      </c>
      <c r="BC285" s="35">
        <f>AW285+AX285</f>
        <v>0</v>
      </c>
      <c r="BD285" s="35">
        <f>H285/(100-BE285)*100</f>
        <v>0</v>
      </c>
      <c r="BE285" s="35">
        <v>0</v>
      </c>
      <c r="BF285" s="35">
        <f>O285</f>
        <v>8.1419954699999995</v>
      </c>
      <c r="BH285" s="35">
        <f>G285*AO285</f>
        <v>0</v>
      </c>
      <c r="BI285" s="35">
        <f>G285*AP285</f>
        <v>0</v>
      </c>
      <c r="BJ285" s="35">
        <f>G285*H285</f>
        <v>0</v>
      </c>
      <c r="BK285" s="35"/>
      <c r="BL285" s="35">
        <v>767</v>
      </c>
      <c r="BW285" s="35" t="str">
        <f>I285</f>
        <v>21</v>
      </c>
      <c r="BX285" s="4" t="s">
        <v>553</v>
      </c>
    </row>
    <row r="286" spans="1:76" x14ac:dyDescent="0.25">
      <c r="A286" s="38"/>
      <c r="D286" s="39" t="s">
        <v>54</v>
      </c>
      <c r="E286" s="39" t="s">
        <v>473</v>
      </c>
      <c r="G286" s="40">
        <v>0</v>
      </c>
      <c r="P286" s="41"/>
    </row>
    <row r="287" spans="1:76" x14ac:dyDescent="0.25">
      <c r="A287" s="38"/>
      <c r="D287" s="39" t="s">
        <v>555</v>
      </c>
      <c r="E287" s="39" t="s">
        <v>556</v>
      </c>
      <c r="G287" s="40">
        <v>1296.0060000000001</v>
      </c>
      <c r="P287" s="41"/>
    </row>
    <row r="288" spans="1:76" x14ac:dyDescent="0.25">
      <c r="A288" s="38"/>
      <c r="D288" s="39" t="s">
        <v>557</v>
      </c>
      <c r="E288" s="39" t="s">
        <v>558</v>
      </c>
      <c r="G288" s="40">
        <v>1453.86</v>
      </c>
      <c r="P288" s="41"/>
    </row>
    <row r="289" spans="1:76" x14ac:dyDescent="0.25">
      <c r="A289" s="38"/>
      <c r="D289" s="39" t="s">
        <v>559</v>
      </c>
      <c r="E289" s="39" t="s">
        <v>560</v>
      </c>
      <c r="G289" s="40">
        <v>905.2</v>
      </c>
      <c r="P289" s="41"/>
    </row>
    <row r="290" spans="1:76" x14ac:dyDescent="0.25">
      <c r="A290" s="38"/>
      <c r="D290" s="39" t="s">
        <v>561</v>
      </c>
      <c r="E290" s="39" t="s">
        <v>562</v>
      </c>
      <c r="G290" s="40">
        <v>611.01</v>
      </c>
      <c r="P290" s="41"/>
    </row>
    <row r="291" spans="1:76" x14ac:dyDescent="0.25">
      <c r="A291" s="38"/>
      <c r="D291" s="39" t="s">
        <v>563</v>
      </c>
      <c r="E291" s="39" t="s">
        <v>54</v>
      </c>
      <c r="G291" s="40">
        <v>135.78</v>
      </c>
      <c r="P291" s="41"/>
    </row>
    <row r="292" spans="1:76" x14ac:dyDescent="0.25">
      <c r="A292" s="38"/>
      <c r="D292" s="39" t="s">
        <v>564</v>
      </c>
      <c r="E292" s="39" t="s">
        <v>487</v>
      </c>
      <c r="G292" s="40">
        <v>182.28</v>
      </c>
      <c r="P292" s="41"/>
    </row>
    <row r="293" spans="1:76" x14ac:dyDescent="0.25">
      <c r="A293" s="38"/>
      <c r="D293" s="39" t="s">
        <v>565</v>
      </c>
      <c r="E293" s="39" t="s">
        <v>489</v>
      </c>
      <c r="G293" s="40">
        <v>1316.88</v>
      </c>
      <c r="P293" s="41"/>
    </row>
    <row r="294" spans="1:76" x14ac:dyDescent="0.25">
      <c r="A294" s="38"/>
      <c r="D294" s="39" t="s">
        <v>54</v>
      </c>
      <c r="E294" s="39" t="s">
        <v>490</v>
      </c>
      <c r="G294" s="40">
        <v>0</v>
      </c>
      <c r="P294" s="41"/>
    </row>
    <row r="295" spans="1:76" x14ac:dyDescent="0.25">
      <c r="A295" s="38"/>
      <c r="D295" s="39" t="s">
        <v>566</v>
      </c>
      <c r="E295" s="39" t="s">
        <v>567</v>
      </c>
      <c r="G295" s="40">
        <v>191.53139999999999</v>
      </c>
      <c r="P295" s="41"/>
    </row>
    <row r="296" spans="1:76" x14ac:dyDescent="0.25">
      <c r="A296" s="38"/>
      <c r="D296" s="39" t="s">
        <v>568</v>
      </c>
      <c r="E296" s="39" t="s">
        <v>558</v>
      </c>
      <c r="G296" s="40">
        <v>374.69400000000002</v>
      </c>
      <c r="P296" s="41"/>
    </row>
    <row r="297" spans="1:76" x14ac:dyDescent="0.25">
      <c r="A297" s="38"/>
      <c r="D297" s="39" t="s">
        <v>569</v>
      </c>
      <c r="E297" s="39" t="s">
        <v>560</v>
      </c>
      <c r="G297" s="40">
        <v>458.8</v>
      </c>
      <c r="P297" s="41"/>
    </row>
    <row r="298" spans="1:76" x14ac:dyDescent="0.25">
      <c r="A298" s="38"/>
      <c r="D298" s="39" t="s">
        <v>570</v>
      </c>
      <c r="E298" s="39" t="s">
        <v>571</v>
      </c>
      <c r="G298" s="40">
        <v>346.32</v>
      </c>
      <c r="P298" s="41"/>
    </row>
    <row r="299" spans="1:76" x14ac:dyDescent="0.25">
      <c r="A299" s="38"/>
      <c r="D299" s="39" t="s">
        <v>572</v>
      </c>
      <c r="E299" s="39" t="s">
        <v>573</v>
      </c>
      <c r="G299" s="40">
        <v>361.44</v>
      </c>
      <c r="P299" s="41"/>
    </row>
    <row r="300" spans="1:76" x14ac:dyDescent="0.25">
      <c r="A300" s="38"/>
      <c r="D300" s="39" t="s">
        <v>574</v>
      </c>
      <c r="E300" s="39" t="s">
        <v>54</v>
      </c>
      <c r="G300" s="40">
        <v>120.48</v>
      </c>
      <c r="P300" s="41"/>
    </row>
    <row r="301" spans="1:76" x14ac:dyDescent="0.25">
      <c r="A301" s="2" t="s">
        <v>575</v>
      </c>
      <c r="B301" s="3" t="s">
        <v>413</v>
      </c>
      <c r="C301" s="3" t="s">
        <v>576</v>
      </c>
      <c r="D301" s="106" t="s">
        <v>577</v>
      </c>
      <c r="E301" s="107"/>
      <c r="F301" s="3" t="s">
        <v>279</v>
      </c>
      <c r="G301" s="35">
        <v>7754.2813999999998</v>
      </c>
      <c r="H301" s="35"/>
      <c r="I301" s="36" t="s">
        <v>63</v>
      </c>
      <c r="J301" s="35">
        <f>G301*AO301</f>
        <v>0</v>
      </c>
      <c r="K301" s="35">
        <f>G301*AP301</f>
        <v>0</v>
      </c>
      <c r="L301" s="35">
        <f>G301*H301</f>
        <v>0</v>
      </c>
      <c r="M301" s="35">
        <f>L301*(1+BW301/100)</f>
        <v>0</v>
      </c>
      <c r="N301" s="35">
        <v>5.0000000000000002E-5</v>
      </c>
      <c r="O301" s="35">
        <f>G301*N301</f>
        <v>0.38771407000000002</v>
      </c>
      <c r="P301" s="37" t="s">
        <v>64</v>
      </c>
      <c r="Z301" s="35">
        <f>IF(AQ301="5",BJ301,0)</f>
        <v>0</v>
      </c>
      <c r="AB301" s="35">
        <f>IF(AQ301="1",BH301,0)</f>
        <v>0</v>
      </c>
      <c r="AC301" s="35">
        <f>IF(AQ301="1",BI301,0)</f>
        <v>0</v>
      </c>
      <c r="AD301" s="35">
        <f>IF(AQ301="7",BH301,0)</f>
        <v>0</v>
      </c>
      <c r="AE301" s="35">
        <f>IF(AQ301="7",BI301,0)</f>
        <v>0</v>
      </c>
      <c r="AF301" s="35">
        <f>IF(AQ301="2",BH301,0)</f>
        <v>0</v>
      </c>
      <c r="AG301" s="35">
        <f>IF(AQ301="2",BI301,0)</f>
        <v>0</v>
      </c>
      <c r="AH301" s="35">
        <f>IF(AQ301="0",BJ301,0)</f>
        <v>0</v>
      </c>
      <c r="AI301" s="12" t="s">
        <v>413</v>
      </c>
      <c r="AJ301" s="35">
        <f>IF(AN301=0,L301,0)</f>
        <v>0</v>
      </c>
      <c r="AK301" s="35">
        <f>IF(AN301=12,L301,0)</f>
        <v>0</v>
      </c>
      <c r="AL301" s="35">
        <f>IF(AN301=21,L301,0)</f>
        <v>0</v>
      </c>
      <c r="AN301" s="35">
        <v>21</v>
      </c>
      <c r="AO301" s="35">
        <f>H301*0.245432689</f>
        <v>0</v>
      </c>
      <c r="AP301" s="35">
        <f>H301*(1-0.245432689)</f>
        <v>0</v>
      </c>
      <c r="AQ301" s="36" t="s">
        <v>99</v>
      </c>
      <c r="AV301" s="35">
        <f>AW301+AX301</f>
        <v>0</v>
      </c>
      <c r="AW301" s="35">
        <f>G301*AO301</f>
        <v>0</v>
      </c>
      <c r="AX301" s="35">
        <f>G301*AP301</f>
        <v>0</v>
      </c>
      <c r="AY301" s="36" t="s">
        <v>554</v>
      </c>
      <c r="AZ301" s="36" t="s">
        <v>520</v>
      </c>
      <c r="BA301" s="12" t="s">
        <v>418</v>
      </c>
      <c r="BC301" s="35">
        <f>AW301+AX301</f>
        <v>0</v>
      </c>
      <c r="BD301" s="35">
        <f>H301/(100-BE301)*100</f>
        <v>0</v>
      </c>
      <c r="BE301" s="35">
        <v>0</v>
      </c>
      <c r="BF301" s="35">
        <f>O301</f>
        <v>0.38771407000000002</v>
      </c>
      <c r="BH301" s="35">
        <f>G301*AO301</f>
        <v>0</v>
      </c>
      <c r="BI301" s="35">
        <f>G301*AP301</f>
        <v>0</v>
      </c>
      <c r="BJ301" s="35">
        <f>G301*H301</f>
        <v>0</v>
      </c>
      <c r="BK301" s="35"/>
      <c r="BL301" s="35">
        <v>767</v>
      </c>
      <c r="BW301" s="35" t="str">
        <f>I301</f>
        <v>21</v>
      </c>
      <c r="BX301" s="4" t="s">
        <v>577</v>
      </c>
    </row>
    <row r="302" spans="1:76" x14ac:dyDescent="0.25">
      <c r="A302" s="2" t="s">
        <v>578</v>
      </c>
      <c r="B302" s="3" t="s">
        <v>413</v>
      </c>
      <c r="C302" s="3" t="s">
        <v>579</v>
      </c>
      <c r="D302" s="106" t="s">
        <v>580</v>
      </c>
      <c r="E302" s="107"/>
      <c r="F302" s="3" t="s">
        <v>72</v>
      </c>
      <c r="G302" s="35">
        <v>135.74</v>
      </c>
      <c r="H302" s="35"/>
      <c r="I302" s="36" t="s">
        <v>63</v>
      </c>
      <c r="J302" s="35">
        <f>G302*AO302</f>
        <v>0</v>
      </c>
      <c r="K302" s="35">
        <f>G302*AP302</f>
        <v>0</v>
      </c>
      <c r="L302" s="35">
        <f>G302*H302</f>
        <v>0</v>
      </c>
      <c r="M302" s="35">
        <f>L302*(1+BW302/100)</f>
        <v>0</v>
      </c>
      <c r="N302" s="35">
        <v>0.02</v>
      </c>
      <c r="O302" s="35">
        <f>G302*N302</f>
        <v>2.7148000000000003</v>
      </c>
      <c r="P302" s="37" t="s">
        <v>64</v>
      </c>
      <c r="Z302" s="35">
        <f>IF(AQ302="5",BJ302,0)</f>
        <v>0</v>
      </c>
      <c r="AB302" s="35">
        <f>IF(AQ302="1",BH302,0)</f>
        <v>0</v>
      </c>
      <c r="AC302" s="35">
        <f>IF(AQ302="1",BI302,0)</f>
        <v>0</v>
      </c>
      <c r="AD302" s="35">
        <f>IF(AQ302="7",BH302,0)</f>
        <v>0</v>
      </c>
      <c r="AE302" s="35">
        <f>IF(AQ302="7",BI302,0)</f>
        <v>0</v>
      </c>
      <c r="AF302" s="35">
        <f>IF(AQ302="2",BH302,0)</f>
        <v>0</v>
      </c>
      <c r="AG302" s="35">
        <f>IF(AQ302="2",BI302,0)</f>
        <v>0</v>
      </c>
      <c r="AH302" s="35">
        <f>IF(AQ302="0",BJ302,0)</f>
        <v>0</v>
      </c>
      <c r="AI302" s="12" t="s">
        <v>413</v>
      </c>
      <c r="AJ302" s="35">
        <f>IF(AN302=0,L302,0)</f>
        <v>0</v>
      </c>
      <c r="AK302" s="35">
        <f>IF(AN302=12,L302,0)</f>
        <v>0</v>
      </c>
      <c r="AL302" s="35">
        <f>IF(AN302=21,L302,0)</f>
        <v>0</v>
      </c>
      <c r="AN302" s="35">
        <v>21</v>
      </c>
      <c r="AO302" s="35">
        <f>H302*0</f>
        <v>0</v>
      </c>
      <c r="AP302" s="35">
        <f>H302*(1-0)</f>
        <v>0</v>
      </c>
      <c r="AQ302" s="36" t="s">
        <v>99</v>
      </c>
      <c r="AV302" s="35">
        <f>AW302+AX302</f>
        <v>0</v>
      </c>
      <c r="AW302" s="35">
        <f>G302*AO302</f>
        <v>0</v>
      </c>
      <c r="AX302" s="35">
        <f>G302*AP302</f>
        <v>0</v>
      </c>
      <c r="AY302" s="36" t="s">
        <v>554</v>
      </c>
      <c r="AZ302" s="36" t="s">
        <v>520</v>
      </c>
      <c r="BA302" s="12" t="s">
        <v>418</v>
      </c>
      <c r="BC302" s="35">
        <f>AW302+AX302</f>
        <v>0</v>
      </c>
      <c r="BD302" s="35">
        <f>H302/(100-BE302)*100</f>
        <v>0</v>
      </c>
      <c r="BE302" s="35">
        <v>0</v>
      </c>
      <c r="BF302" s="35">
        <f>O302</f>
        <v>2.7148000000000003</v>
      </c>
      <c r="BH302" s="35">
        <f>G302*AO302</f>
        <v>0</v>
      </c>
      <c r="BI302" s="35">
        <f>G302*AP302</f>
        <v>0</v>
      </c>
      <c r="BJ302" s="35">
        <f>G302*H302</f>
        <v>0</v>
      </c>
      <c r="BK302" s="35"/>
      <c r="BL302" s="35">
        <v>767</v>
      </c>
      <c r="BW302" s="35" t="str">
        <f>I302</f>
        <v>21</v>
      </c>
      <c r="BX302" s="4" t="s">
        <v>580</v>
      </c>
    </row>
    <row r="303" spans="1:76" x14ac:dyDescent="0.25">
      <c r="A303" s="38"/>
      <c r="D303" s="39" t="s">
        <v>581</v>
      </c>
      <c r="E303" s="39" t="s">
        <v>54</v>
      </c>
      <c r="G303" s="40">
        <v>135.74</v>
      </c>
      <c r="P303" s="41"/>
    </row>
    <row r="304" spans="1:76" x14ac:dyDescent="0.25">
      <c r="A304" s="2" t="s">
        <v>582</v>
      </c>
      <c r="B304" s="3" t="s">
        <v>413</v>
      </c>
      <c r="C304" s="3" t="s">
        <v>583</v>
      </c>
      <c r="D304" s="106" t="s">
        <v>584</v>
      </c>
      <c r="E304" s="107"/>
      <c r="F304" s="3" t="s">
        <v>72</v>
      </c>
      <c r="G304" s="35">
        <v>135.74</v>
      </c>
      <c r="H304" s="35"/>
      <c r="I304" s="36" t="s">
        <v>63</v>
      </c>
      <c r="J304" s="35">
        <f>G304*AO304</f>
        <v>0</v>
      </c>
      <c r="K304" s="35">
        <f>G304*AP304</f>
        <v>0</v>
      </c>
      <c r="L304" s="35">
        <f>G304*H304</f>
        <v>0</v>
      </c>
      <c r="M304" s="35">
        <f>L304*(1+BW304/100)</f>
        <v>0</v>
      </c>
      <c r="N304" s="35">
        <v>1.9000000000000001E-4</v>
      </c>
      <c r="O304" s="35">
        <f>G304*N304</f>
        <v>2.5790600000000004E-2</v>
      </c>
      <c r="P304" s="37" t="s">
        <v>219</v>
      </c>
      <c r="Z304" s="35">
        <f>IF(AQ304="5",BJ304,0)</f>
        <v>0</v>
      </c>
      <c r="AB304" s="35">
        <f>IF(AQ304="1",BH304,0)</f>
        <v>0</v>
      </c>
      <c r="AC304" s="35">
        <f>IF(AQ304="1",BI304,0)</f>
        <v>0</v>
      </c>
      <c r="AD304" s="35">
        <f>IF(AQ304="7",BH304,0)</f>
        <v>0</v>
      </c>
      <c r="AE304" s="35">
        <f>IF(AQ304="7",BI304,0)</f>
        <v>0</v>
      </c>
      <c r="AF304" s="35">
        <f>IF(AQ304="2",BH304,0)</f>
        <v>0</v>
      </c>
      <c r="AG304" s="35">
        <f>IF(AQ304="2",BI304,0)</f>
        <v>0</v>
      </c>
      <c r="AH304" s="35">
        <f>IF(AQ304="0",BJ304,0)</f>
        <v>0</v>
      </c>
      <c r="AI304" s="12" t="s">
        <v>413</v>
      </c>
      <c r="AJ304" s="35">
        <f>IF(AN304=0,L304,0)</f>
        <v>0</v>
      </c>
      <c r="AK304" s="35">
        <f>IF(AN304=12,L304,0)</f>
        <v>0</v>
      </c>
      <c r="AL304" s="35">
        <f>IF(AN304=21,L304,0)</f>
        <v>0</v>
      </c>
      <c r="AN304" s="35">
        <v>21</v>
      </c>
      <c r="AO304" s="35">
        <f>H304*0.220788177</f>
        <v>0</v>
      </c>
      <c r="AP304" s="35">
        <f>H304*(1-0.220788177)</f>
        <v>0</v>
      </c>
      <c r="AQ304" s="36" t="s">
        <v>99</v>
      </c>
      <c r="AV304" s="35">
        <f>AW304+AX304</f>
        <v>0</v>
      </c>
      <c r="AW304" s="35">
        <f>G304*AO304</f>
        <v>0</v>
      </c>
      <c r="AX304" s="35">
        <f>G304*AP304</f>
        <v>0</v>
      </c>
      <c r="AY304" s="36" t="s">
        <v>554</v>
      </c>
      <c r="AZ304" s="36" t="s">
        <v>520</v>
      </c>
      <c r="BA304" s="12" t="s">
        <v>418</v>
      </c>
      <c r="BC304" s="35">
        <f>AW304+AX304</f>
        <v>0</v>
      </c>
      <c r="BD304" s="35">
        <f>H304/(100-BE304)*100</f>
        <v>0</v>
      </c>
      <c r="BE304" s="35">
        <v>0</v>
      </c>
      <c r="BF304" s="35">
        <f>O304</f>
        <v>2.5790600000000004E-2</v>
      </c>
      <c r="BH304" s="35">
        <f>G304*AO304</f>
        <v>0</v>
      </c>
      <c r="BI304" s="35">
        <f>G304*AP304</f>
        <v>0</v>
      </c>
      <c r="BJ304" s="35">
        <f>G304*H304</f>
        <v>0</v>
      </c>
      <c r="BK304" s="35"/>
      <c r="BL304" s="35">
        <v>767</v>
      </c>
      <c r="BW304" s="35" t="str">
        <f>I304</f>
        <v>21</v>
      </c>
      <c r="BX304" s="4" t="s">
        <v>584</v>
      </c>
    </row>
    <row r="305" spans="1:76" x14ac:dyDescent="0.25">
      <c r="A305" s="38"/>
      <c r="D305" s="39" t="s">
        <v>581</v>
      </c>
      <c r="E305" s="39" t="s">
        <v>54</v>
      </c>
      <c r="G305" s="40">
        <v>135.74</v>
      </c>
      <c r="P305" s="41"/>
    </row>
    <row r="306" spans="1:76" ht="25.5" x14ac:dyDescent="0.25">
      <c r="A306" s="2" t="s">
        <v>585</v>
      </c>
      <c r="B306" s="3" t="s">
        <v>413</v>
      </c>
      <c r="C306" s="3" t="s">
        <v>586</v>
      </c>
      <c r="D306" s="106" t="s">
        <v>587</v>
      </c>
      <c r="E306" s="107"/>
      <c r="F306" s="3" t="s">
        <v>72</v>
      </c>
      <c r="G306" s="35">
        <v>139.81219999999999</v>
      </c>
      <c r="H306" s="35"/>
      <c r="I306" s="36" t="s">
        <v>63</v>
      </c>
      <c r="J306" s="35">
        <f>G306*AO306</f>
        <v>0</v>
      </c>
      <c r="K306" s="35">
        <f>G306*AP306</f>
        <v>0</v>
      </c>
      <c r="L306" s="35">
        <f>G306*H306</f>
        <v>0</v>
      </c>
      <c r="M306" s="35">
        <f>L306*(1+BW306/100)</f>
        <v>0</v>
      </c>
      <c r="N306" s="35">
        <v>2E-3</v>
      </c>
      <c r="O306" s="35">
        <f>G306*N306</f>
        <v>0.2796244</v>
      </c>
      <c r="P306" s="37" t="s">
        <v>219</v>
      </c>
      <c r="Z306" s="35">
        <f>IF(AQ306="5",BJ306,0)</f>
        <v>0</v>
      </c>
      <c r="AB306" s="35">
        <f>IF(AQ306="1",BH306,0)</f>
        <v>0</v>
      </c>
      <c r="AC306" s="35">
        <f>IF(AQ306="1",BI306,0)</f>
        <v>0</v>
      </c>
      <c r="AD306" s="35">
        <f>IF(AQ306="7",BH306,0)</f>
        <v>0</v>
      </c>
      <c r="AE306" s="35">
        <f>IF(AQ306="7",BI306,0)</f>
        <v>0</v>
      </c>
      <c r="AF306" s="35">
        <f>IF(AQ306="2",BH306,0)</f>
        <v>0</v>
      </c>
      <c r="AG306" s="35">
        <f>IF(AQ306="2",BI306,0)</f>
        <v>0</v>
      </c>
      <c r="AH306" s="35">
        <f>IF(AQ306="0",BJ306,0)</f>
        <v>0</v>
      </c>
      <c r="AI306" s="12" t="s">
        <v>413</v>
      </c>
      <c r="AJ306" s="35">
        <f>IF(AN306=0,L306,0)</f>
        <v>0</v>
      </c>
      <c r="AK306" s="35">
        <f>IF(AN306=12,L306,0)</f>
        <v>0</v>
      </c>
      <c r="AL306" s="35">
        <f>IF(AN306=21,L306,0)</f>
        <v>0</v>
      </c>
      <c r="AN306" s="35">
        <v>21</v>
      </c>
      <c r="AO306" s="35">
        <f>H306*1</f>
        <v>0</v>
      </c>
      <c r="AP306" s="35">
        <f>H306*(1-1)</f>
        <v>0</v>
      </c>
      <c r="AQ306" s="36" t="s">
        <v>99</v>
      </c>
      <c r="AV306" s="35">
        <f>AW306+AX306</f>
        <v>0</v>
      </c>
      <c r="AW306" s="35">
        <f>G306*AO306</f>
        <v>0</v>
      </c>
      <c r="AX306" s="35">
        <f>G306*AP306</f>
        <v>0</v>
      </c>
      <c r="AY306" s="36" t="s">
        <v>554</v>
      </c>
      <c r="AZ306" s="36" t="s">
        <v>520</v>
      </c>
      <c r="BA306" s="12" t="s">
        <v>418</v>
      </c>
      <c r="BC306" s="35">
        <f>AW306+AX306</f>
        <v>0</v>
      </c>
      <c r="BD306" s="35">
        <f>H306/(100-BE306)*100</f>
        <v>0</v>
      </c>
      <c r="BE306" s="35">
        <v>0</v>
      </c>
      <c r="BF306" s="35">
        <f>O306</f>
        <v>0.2796244</v>
      </c>
      <c r="BH306" s="35">
        <f>G306*AO306</f>
        <v>0</v>
      </c>
      <c r="BI306" s="35">
        <f>G306*AP306</f>
        <v>0</v>
      </c>
      <c r="BJ306" s="35">
        <f>G306*H306</f>
        <v>0</v>
      </c>
      <c r="BK306" s="35"/>
      <c r="BL306" s="35">
        <v>767</v>
      </c>
      <c r="BW306" s="35" t="str">
        <f>I306</f>
        <v>21</v>
      </c>
      <c r="BX306" s="4" t="s">
        <v>587</v>
      </c>
    </row>
    <row r="307" spans="1:76" x14ac:dyDescent="0.25">
      <c r="A307" s="38"/>
      <c r="D307" s="39" t="s">
        <v>588</v>
      </c>
      <c r="E307" s="39" t="s">
        <v>54</v>
      </c>
      <c r="G307" s="40">
        <v>135.74</v>
      </c>
      <c r="P307" s="41"/>
    </row>
    <row r="308" spans="1:76" x14ac:dyDescent="0.25">
      <c r="A308" s="38"/>
      <c r="D308" s="39" t="s">
        <v>589</v>
      </c>
      <c r="E308" s="39" t="s">
        <v>54</v>
      </c>
      <c r="G308" s="40">
        <v>4.0721999999999996</v>
      </c>
      <c r="P308" s="41"/>
    </row>
    <row r="309" spans="1:76" x14ac:dyDescent="0.25">
      <c r="A309" s="2" t="s">
        <v>590</v>
      </c>
      <c r="B309" s="3" t="s">
        <v>413</v>
      </c>
      <c r="C309" s="3" t="s">
        <v>591</v>
      </c>
      <c r="D309" s="106" t="s">
        <v>592</v>
      </c>
      <c r="E309" s="107"/>
      <c r="F309" s="3" t="s">
        <v>593</v>
      </c>
      <c r="G309" s="35">
        <v>1</v>
      </c>
      <c r="H309" s="35"/>
      <c r="I309" s="36" t="s">
        <v>63</v>
      </c>
      <c r="J309" s="35">
        <f>G309*AO309</f>
        <v>0</v>
      </c>
      <c r="K309" s="35">
        <f>G309*AP309</f>
        <v>0</v>
      </c>
      <c r="L309" s="35">
        <f>G309*H309</f>
        <v>0</v>
      </c>
      <c r="M309" s="35">
        <f>L309*(1+BW309/100)</f>
        <v>0</v>
      </c>
      <c r="N309" s="35">
        <v>6.0000000000000002E-5</v>
      </c>
      <c r="O309" s="35">
        <f>G309*N309</f>
        <v>6.0000000000000002E-5</v>
      </c>
      <c r="P309" s="37" t="s">
        <v>219</v>
      </c>
      <c r="Z309" s="35">
        <f>IF(AQ309="5",BJ309,0)</f>
        <v>0</v>
      </c>
      <c r="AB309" s="35">
        <f>IF(AQ309="1",BH309,0)</f>
        <v>0</v>
      </c>
      <c r="AC309" s="35">
        <f>IF(AQ309="1",BI309,0)</f>
        <v>0</v>
      </c>
      <c r="AD309" s="35">
        <f>IF(AQ309="7",BH309,0)</f>
        <v>0</v>
      </c>
      <c r="AE309" s="35">
        <f>IF(AQ309="7",BI309,0)</f>
        <v>0</v>
      </c>
      <c r="AF309" s="35">
        <f>IF(AQ309="2",BH309,0)</f>
        <v>0</v>
      </c>
      <c r="AG309" s="35">
        <f>IF(AQ309="2",BI309,0)</f>
        <v>0</v>
      </c>
      <c r="AH309" s="35">
        <f>IF(AQ309="0",BJ309,0)</f>
        <v>0</v>
      </c>
      <c r="AI309" s="12" t="s">
        <v>413</v>
      </c>
      <c r="AJ309" s="35">
        <f>IF(AN309=0,L309,0)</f>
        <v>0</v>
      </c>
      <c r="AK309" s="35">
        <f>IF(AN309=12,L309,0)</f>
        <v>0</v>
      </c>
      <c r="AL309" s="35">
        <f>IF(AN309=21,L309,0)</f>
        <v>0</v>
      </c>
      <c r="AN309" s="35">
        <v>21</v>
      </c>
      <c r="AO309" s="35">
        <f>H309*0.666666667</f>
        <v>0</v>
      </c>
      <c r="AP309" s="35">
        <f>H309*(1-0.666666667)</f>
        <v>0</v>
      </c>
      <c r="AQ309" s="36" t="s">
        <v>99</v>
      </c>
      <c r="AV309" s="35">
        <f>AW309+AX309</f>
        <v>0</v>
      </c>
      <c r="AW309" s="35">
        <f>G309*AO309</f>
        <v>0</v>
      </c>
      <c r="AX309" s="35">
        <f>G309*AP309</f>
        <v>0</v>
      </c>
      <c r="AY309" s="36" t="s">
        <v>554</v>
      </c>
      <c r="AZ309" s="36" t="s">
        <v>520</v>
      </c>
      <c r="BA309" s="12" t="s">
        <v>418</v>
      </c>
      <c r="BC309" s="35">
        <f>AW309+AX309</f>
        <v>0</v>
      </c>
      <c r="BD309" s="35">
        <f>H309/(100-BE309)*100</f>
        <v>0</v>
      </c>
      <c r="BE309" s="35">
        <v>0</v>
      </c>
      <c r="BF309" s="35">
        <f>O309</f>
        <v>6.0000000000000002E-5</v>
      </c>
      <c r="BH309" s="35">
        <f>G309*AO309</f>
        <v>0</v>
      </c>
      <c r="BI309" s="35">
        <f>G309*AP309</f>
        <v>0</v>
      </c>
      <c r="BJ309" s="35">
        <f>G309*H309</f>
        <v>0</v>
      </c>
      <c r="BK309" s="35"/>
      <c r="BL309" s="35">
        <v>767</v>
      </c>
      <c r="BW309" s="35" t="str">
        <f>I309</f>
        <v>21</v>
      </c>
      <c r="BX309" s="4" t="s">
        <v>592</v>
      </c>
    </row>
    <row r="310" spans="1:76" x14ac:dyDescent="0.25">
      <c r="A310" s="2" t="s">
        <v>594</v>
      </c>
      <c r="B310" s="3" t="s">
        <v>413</v>
      </c>
      <c r="C310" s="3" t="s">
        <v>591</v>
      </c>
      <c r="D310" s="106" t="s">
        <v>595</v>
      </c>
      <c r="E310" s="107"/>
      <c r="F310" s="3" t="s">
        <v>593</v>
      </c>
      <c r="G310" s="35">
        <v>1</v>
      </c>
      <c r="H310" s="35"/>
      <c r="I310" s="36" t="s">
        <v>63</v>
      </c>
      <c r="J310" s="35">
        <f>G310*AO310</f>
        <v>0</v>
      </c>
      <c r="K310" s="35">
        <f>G310*AP310</f>
        <v>0</v>
      </c>
      <c r="L310" s="35">
        <f>G310*H310</f>
        <v>0</v>
      </c>
      <c r="M310" s="35">
        <f>L310*(1+BW310/100)</f>
        <v>0</v>
      </c>
      <c r="N310" s="35">
        <v>6.0000000000000002E-5</v>
      </c>
      <c r="O310" s="35">
        <f>G310*N310</f>
        <v>6.0000000000000002E-5</v>
      </c>
      <c r="P310" s="37" t="s">
        <v>219</v>
      </c>
      <c r="Z310" s="35">
        <f>IF(AQ310="5",BJ310,0)</f>
        <v>0</v>
      </c>
      <c r="AB310" s="35">
        <f>IF(AQ310="1",BH310,0)</f>
        <v>0</v>
      </c>
      <c r="AC310" s="35">
        <f>IF(AQ310="1",BI310,0)</f>
        <v>0</v>
      </c>
      <c r="AD310" s="35">
        <f>IF(AQ310="7",BH310,0)</f>
        <v>0</v>
      </c>
      <c r="AE310" s="35">
        <f>IF(AQ310="7",BI310,0)</f>
        <v>0</v>
      </c>
      <c r="AF310" s="35">
        <f>IF(AQ310="2",BH310,0)</f>
        <v>0</v>
      </c>
      <c r="AG310" s="35">
        <f>IF(AQ310="2",BI310,0)</f>
        <v>0</v>
      </c>
      <c r="AH310" s="35">
        <f>IF(AQ310="0",BJ310,0)</f>
        <v>0</v>
      </c>
      <c r="AI310" s="12" t="s">
        <v>413</v>
      </c>
      <c r="AJ310" s="35">
        <f>IF(AN310=0,L310,0)</f>
        <v>0</v>
      </c>
      <c r="AK310" s="35">
        <f>IF(AN310=12,L310,0)</f>
        <v>0</v>
      </c>
      <c r="AL310" s="35">
        <f>IF(AN310=21,L310,0)</f>
        <v>0</v>
      </c>
      <c r="AN310" s="35">
        <v>21</v>
      </c>
      <c r="AO310" s="35">
        <f>H310*0.6118603</f>
        <v>0</v>
      </c>
      <c r="AP310" s="35">
        <f>H310*(1-0.6118603)</f>
        <v>0</v>
      </c>
      <c r="AQ310" s="36" t="s">
        <v>99</v>
      </c>
      <c r="AV310" s="35">
        <f>AW310+AX310</f>
        <v>0</v>
      </c>
      <c r="AW310" s="35">
        <f>G310*AO310</f>
        <v>0</v>
      </c>
      <c r="AX310" s="35">
        <f>G310*AP310</f>
        <v>0</v>
      </c>
      <c r="AY310" s="36" t="s">
        <v>554</v>
      </c>
      <c r="AZ310" s="36" t="s">
        <v>520</v>
      </c>
      <c r="BA310" s="12" t="s">
        <v>418</v>
      </c>
      <c r="BC310" s="35">
        <f>AW310+AX310</f>
        <v>0</v>
      </c>
      <c r="BD310" s="35">
        <f>H310/(100-BE310)*100</f>
        <v>0</v>
      </c>
      <c r="BE310" s="35">
        <v>0</v>
      </c>
      <c r="BF310" s="35">
        <f>O310</f>
        <v>6.0000000000000002E-5</v>
      </c>
      <c r="BH310" s="35">
        <f>G310*AO310</f>
        <v>0</v>
      </c>
      <c r="BI310" s="35">
        <f>G310*AP310</f>
        <v>0</v>
      </c>
      <c r="BJ310" s="35">
        <f>G310*H310</f>
        <v>0</v>
      </c>
      <c r="BK310" s="35"/>
      <c r="BL310" s="35">
        <v>767</v>
      </c>
      <c r="BW310" s="35" t="str">
        <f>I310</f>
        <v>21</v>
      </c>
      <c r="BX310" s="4" t="s">
        <v>595</v>
      </c>
    </row>
    <row r="311" spans="1:76" x14ac:dyDescent="0.25">
      <c r="A311" s="2" t="s">
        <v>596</v>
      </c>
      <c r="B311" s="3" t="s">
        <v>413</v>
      </c>
      <c r="C311" s="3" t="s">
        <v>597</v>
      </c>
      <c r="D311" s="106" t="s">
        <v>598</v>
      </c>
      <c r="E311" s="107"/>
      <c r="F311" s="3" t="s">
        <v>210</v>
      </c>
      <c r="G311" s="35">
        <v>11.54992</v>
      </c>
      <c r="H311" s="35"/>
      <c r="I311" s="36" t="s">
        <v>63</v>
      </c>
      <c r="J311" s="35">
        <f>G311*AO311</f>
        <v>0</v>
      </c>
      <c r="K311" s="35">
        <f>G311*AP311</f>
        <v>0</v>
      </c>
      <c r="L311" s="35">
        <f>G311*H311</f>
        <v>0</v>
      </c>
      <c r="M311" s="35">
        <f>L311*(1+BW311/100)</f>
        <v>0</v>
      </c>
      <c r="N311" s="35">
        <v>0</v>
      </c>
      <c r="O311" s="35">
        <f>G311*N311</f>
        <v>0</v>
      </c>
      <c r="P311" s="37" t="s">
        <v>64</v>
      </c>
      <c r="Z311" s="35">
        <f>IF(AQ311="5",BJ311,0)</f>
        <v>0</v>
      </c>
      <c r="AB311" s="35">
        <f>IF(AQ311="1",BH311,0)</f>
        <v>0</v>
      </c>
      <c r="AC311" s="35">
        <f>IF(AQ311="1",BI311,0)</f>
        <v>0</v>
      </c>
      <c r="AD311" s="35">
        <f>IF(AQ311="7",BH311,0)</f>
        <v>0</v>
      </c>
      <c r="AE311" s="35">
        <f>IF(AQ311="7",BI311,0)</f>
        <v>0</v>
      </c>
      <c r="AF311" s="35">
        <f>IF(AQ311="2",BH311,0)</f>
        <v>0</v>
      </c>
      <c r="AG311" s="35">
        <f>IF(AQ311="2",BI311,0)</f>
        <v>0</v>
      </c>
      <c r="AH311" s="35">
        <f>IF(AQ311="0",BJ311,0)</f>
        <v>0</v>
      </c>
      <c r="AI311" s="12" t="s">
        <v>413</v>
      </c>
      <c r="AJ311" s="35">
        <f>IF(AN311=0,L311,0)</f>
        <v>0</v>
      </c>
      <c r="AK311" s="35">
        <f>IF(AN311=12,L311,0)</f>
        <v>0</v>
      </c>
      <c r="AL311" s="35">
        <f>IF(AN311=21,L311,0)</f>
        <v>0</v>
      </c>
      <c r="AN311" s="35">
        <v>21</v>
      </c>
      <c r="AO311" s="35">
        <f>H311*0</f>
        <v>0</v>
      </c>
      <c r="AP311" s="35">
        <f>H311*(1-0)</f>
        <v>0</v>
      </c>
      <c r="AQ311" s="36" t="s">
        <v>88</v>
      </c>
      <c r="AV311" s="35">
        <f>AW311+AX311</f>
        <v>0</v>
      </c>
      <c r="AW311" s="35">
        <f>G311*AO311</f>
        <v>0</v>
      </c>
      <c r="AX311" s="35">
        <f>G311*AP311</f>
        <v>0</v>
      </c>
      <c r="AY311" s="36" t="s">
        <v>554</v>
      </c>
      <c r="AZ311" s="36" t="s">
        <v>520</v>
      </c>
      <c r="BA311" s="12" t="s">
        <v>418</v>
      </c>
      <c r="BC311" s="35">
        <f>AW311+AX311</f>
        <v>0</v>
      </c>
      <c r="BD311" s="35">
        <f>H311/(100-BE311)*100</f>
        <v>0</v>
      </c>
      <c r="BE311" s="35">
        <v>0</v>
      </c>
      <c r="BF311" s="35">
        <f>O311</f>
        <v>0</v>
      </c>
      <c r="BH311" s="35">
        <f>G311*AO311</f>
        <v>0</v>
      </c>
      <c r="BI311" s="35">
        <f>G311*AP311</f>
        <v>0</v>
      </c>
      <c r="BJ311" s="35">
        <f>G311*H311</f>
        <v>0</v>
      </c>
      <c r="BK311" s="35"/>
      <c r="BL311" s="35">
        <v>767</v>
      </c>
      <c r="BW311" s="35" t="str">
        <f>I311</f>
        <v>21</v>
      </c>
      <c r="BX311" s="4" t="s">
        <v>598</v>
      </c>
    </row>
    <row r="312" spans="1:76" x14ac:dyDescent="0.25">
      <c r="A312" s="31" t="s">
        <v>54</v>
      </c>
      <c r="B312" s="32" t="s">
        <v>413</v>
      </c>
      <c r="C312" s="32" t="s">
        <v>383</v>
      </c>
      <c r="D312" s="164" t="s">
        <v>384</v>
      </c>
      <c r="E312" s="165"/>
      <c r="F312" s="33" t="s">
        <v>3</v>
      </c>
      <c r="G312" s="33" t="s">
        <v>3</v>
      </c>
      <c r="H312" s="33"/>
      <c r="I312" s="33" t="s">
        <v>3</v>
      </c>
      <c r="J312" s="1">
        <f>SUM(J313:J313)</f>
        <v>0</v>
      </c>
      <c r="K312" s="1">
        <f>SUM(K313:K313)</f>
        <v>0</v>
      </c>
      <c r="L312" s="1">
        <f>SUM(L313:L313)</f>
        <v>0</v>
      </c>
      <c r="M312" s="1">
        <f>SUM(M313:M313)</f>
        <v>0</v>
      </c>
      <c r="N312" s="12" t="s">
        <v>54</v>
      </c>
      <c r="O312" s="1">
        <f>SUM(O313:O313)</f>
        <v>8.8530456000000007E-2</v>
      </c>
      <c r="P312" s="34" t="s">
        <v>54</v>
      </c>
      <c r="AI312" s="12" t="s">
        <v>413</v>
      </c>
      <c r="AS312" s="1">
        <f>SUM(AJ313:AJ313)</f>
        <v>0</v>
      </c>
      <c r="AT312" s="1">
        <f>SUM(AK313:AK313)</f>
        <v>0</v>
      </c>
      <c r="AU312" s="1">
        <f>SUM(AL313:AL313)</f>
        <v>0</v>
      </c>
    </row>
    <row r="313" spans="1:76" x14ac:dyDescent="0.25">
      <c r="A313" s="2" t="s">
        <v>599</v>
      </c>
      <c r="B313" s="3" t="s">
        <v>413</v>
      </c>
      <c r="C313" s="3" t="s">
        <v>600</v>
      </c>
      <c r="D313" s="106" t="s">
        <v>601</v>
      </c>
      <c r="E313" s="107"/>
      <c r="F313" s="3" t="s">
        <v>72</v>
      </c>
      <c r="G313" s="35">
        <v>210.7868</v>
      </c>
      <c r="H313" s="35"/>
      <c r="I313" s="36" t="s">
        <v>63</v>
      </c>
      <c r="J313" s="35">
        <f>G313*AO313</f>
        <v>0</v>
      </c>
      <c r="K313" s="35">
        <f>G313*AP313</f>
        <v>0</v>
      </c>
      <c r="L313" s="35">
        <f>G313*H313</f>
        <v>0</v>
      </c>
      <c r="M313" s="35">
        <f>L313*(1+BW313/100)</f>
        <v>0</v>
      </c>
      <c r="N313" s="35">
        <v>4.2000000000000002E-4</v>
      </c>
      <c r="O313" s="35">
        <f>G313*N313</f>
        <v>8.8530456000000007E-2</v>
      </c>
      <c r="P313" s="37" t="s">
        <v>64</v>
      </c>
      <c r="Z313" s="35">
        <f>IF(AQ313="5",BJ313,0)</f>
        <v>0</v>
      </c>
      <c r="AB313" s="35">
        <f>IF(AQ313="1",BH313,0)</f>
        <v>0</v>
      </c>
      <c r="AC313" s="35">
        <f>IF(AQ313="1",BI313,0)</f>
        <v>0</v>
      </c>
      <c r="AD313" s="35">
        <f>IF(AQ313="7",BH313,0)</f>
        <v>0</v>
      </c>
      <c r="AE313" s="35">
        <f>IF(AQ313="7",BI313,0)</f>
        <v>0</v>
      </c>
      <c r="AF313" s="35">
        <f>IF(AQ313="2",BH313,0)</f>
        <v>0</v>
      </c>
      <c r="AG313" s="35">
        <f>IF(AQ313="2",BI313,0)</f>
        <v>0</v>
      </c>
      <c r="AH313" s="35">
        <f>IF(AQ313="0",BJ313,0)</f>
        <v>0</v>
      </c>
      <c r="AI313" s="12" t="s">
        <v>413</v>
      </c>
      <c r="AJ313" s="35">
        <f>IF(AN313=0,L313,0)</f>
        <v>0</v>
      </c>
      <c r="AK313" s="35">
        <f>IF(AN313=12,L313,0)</f>
        <v>0</v>
      </c>
      <c r="AL313" s="35">
        <f>IF(AN313=21,L313,0)</f>
        <v>0</v>
      </c>
      <c r="AN313" s="35">
        <v>21</v>
      </c>
      <c r="AO313" s="35">
        <f>H313*0.414897518</f>
        <v>0</v>
      </c>
      <c r="AP313" s="35">
        <f>H313*(1-0.414897518)</f>
        <v>0</v>
      </c>
      <c r="AQ313" s="36" t="s">
        <v>99</v>
      </c>
      <c r="AV313" s="35">
        <f>AW313+AX313</f>
        <v>0</v>
      </c>
      <c r="AW313" s="35">
        <f>G313*AO313</f>
        <v>0</v>
      </c>
      <c r="AX313" s="35">
        <f>G313*AP313</f>
        <v>0</v>
      </c>
      <c r="AY313" s="36" t="s">
        <v>388</v>
      </c>
      <c r="AZ313" s="36" t="s">
        <v>602</v>
      </c>
      <c r="BA313" s="12" t="s">
        <v>418</v>
      </c>
      <c r="BC313" s="35">
        <f>AW313+AX313</f>
        <v>0</v>
      </c>
      <c r="BD313" s="35">
        <f>H313/(100-BE313)*100</f>
        <v>0</v>
      </c>
      <c r="BE313" s="35">
        <v>0</v>
      </c>
      <c r="BF313" s="35">
        <f>O313</f>
        <v>8.8530456000000007E-2</v>
      </c>
      <c r="BH313" s="35">
        <f>G313*AO313</f>
        <v>0</v>
      </c>
      <c r="BI313" s="35">
        <f>G313*AP313</f>
        <v>0</v>
      </c>
      <c r="BJ313" s="35">
        <f>G313*H313</f>
        <v>0</v>
      </c>
      <c r="BK313" s="35"/>
      <c r="BL313" s="35">
        <v>783</v>
      </c>
      <c r="BW313" s="35" t="str">
        <f>I313</f>
        <v>21</v>
      </c>
      <c r="BX313" s="4" t="s">
        <v>601</v>
      </c>
    </row>
    <row r="314" spans="1:76" x14ac:dyDescent="0.25">
      <c r="A314" s="38"/>
      <c r="D314" s="39" t="s">
        <v>54</v>
      </c>
      <c r="E314" s="39" t="s">
        <v>473</v>
      </c>
      <c r="G314" s="40">
        <v>0</v>
      </c>
      <c r="P314" s="41"/>
    </row>
    <row r="315" spans="1:76" x14ac:dyDescent="0.25">
      <c r="A315" s="38"/>
      <c r="D315" s="39" t="s">
        <v>474</v>
      </c>
      <c r="E315" s="39" t="s">
        <v>475</v>
      </c>
      <c r="G315" s="40">
        <v>14.64</v>
      </c>
      <c r="P315" s="41"/>
    </row>
    <row r="316" spans="1:76" x14ac:dyDescent="0.25">
      <c r="A316" s="38"/>
      <c r="D316" s="39" t="s">
        <v>476</v>
      </c>
      <c r="E316" s="39" t="s">
        <v>54</v>
      </c>
      <c r="G316" s="40">
        <v>8.7840000000000007</v>
      </c>
      <c r="P316" s="41"/>
    </row>
    <row r="317" spans="1:76" x14ac:dyDescent="0.25">
      <c r="A317" s="38"/>
      <c r="D317" s="39" t="s">
        <v>477</v>
      </c>
      <c r="E317" s="39" t="s">
        <v>478</v>
      </c>
      <c r="G317" s="40">
        <v>11.808</v>
      </c>
      <c r="P317" s="41"/>
    </row>
    <row r="318" spans="1:76" x14ac:dyDescent="0.25">
      <c r="A318" s="38"/>
      <c r="D318" s="39" t="s">
        <v>479</v>
      </c>
      <c r="E318" s="39" t="s">
        <v>54</v>
      </c>
      <c r="G318" s="40">
        <v>13.776</v>
      </c>
      <c r="P318" s="41"/>
    </row>
    <row r="319" spans="1:76" x14ac:dyDescent="0.25">
      <c r="A319" s="38"/>
      <c r="D319" s="39" t="s">
        <v>480</v>
      </c>
      <c r="E319" s="39" t="s">
        <v>54</v>
      </c>
      <c r="G319" s="40">
        <v>18.687999999999999</v>
      </c>
      <c r="P319" s="41"/>
    </row>
    <row r="320" spans="1:76" x14ac:dyDescent="0.25">
      <c r="A320" s="38"/>
      <c r="D320" s="39" t="s">
        <v>481</v>
      </c>
      <c r="E320" s="39" t="s">
        <v>482</v>
      </c>
      <c r="G320" s="40">
        <v>11.68</v>
      </c>
      <c r="P320" s="41"/>
    </row>
    <row r="321" spans="1:47" x14ac:dyDescent="0.25">
      <c r="A321" s="38"/>
      <c r="D321" s="39" t="s">
        <v>483</v>
      </c>
      <c r="E321" s="39" t="s">
        <v>484</v>
      </c>
      <c r="G321" s="40">
        <v>21.024000000000001</v>
      </c>
      <c r="P321" s="41"/>
    </row>
    <row r="322" spans="1:47" x14ac:dyDescent="0.25">
      <c r="A322" s="38"/>
      <c r="D322" s="39" t="s">
        <v>485</v>
      </c>
      <c r="E322" s="39" t="s">
        <v>54</v>
      </c>
      <c r="G322" s="40">
        <v>4.6719999999999997</v>
      </c>
      <c r="P322" s="41"/>
    </row>
    <row r="323" spans="1:47" x14ac:dyDescent="0.25">
      <c r="A323" s="38"/>
      <c r="D323" s="39" t="s">
        <v>486</v>
      </c>
      <c r="E323" s="39" t="s">
        <v>487</v>
      </c>
      <c r="G323" s="40">
        <v>6.2720000000000002</v>
      </c>
      <c r="P323" s="41"/>
    </row>
    <row r="324" spans="1:47" x14ac:dyDescent="0.25">
      <c r="A324" s="38"/>
      <c r="D324" s="39" t="s">
        <v>488</v>
      </c>
      <c r="E324" s="39" t="s">
        <v>489</v>
      </c>
      <c r="G324" s="40">
        <v>45.311999999999998</v>
      </c>
      <c r="P324" s="41"/>
    </row>
    <row r="325" spans="1:47" x14ac:dyDescent="0.25">
      <c r="A325" s="38"/>
      <c r="D325" s="39" t="s">
        <v>54</v>
      </c>
      <c r="E325" s="39" t="s">
        <v>490</v>
      </c>
      <c r="G325" s="40">
        <v>0</v>
      </c>
      <c r="P325" s="41"/>
    </row>
    <row r="326" spans="1:47" x14ac:dyDescent="0.25">
      <c r="A326" s="38"/>
      <c r="D326" s="39" t="s">
        <v>491</v>
      </c>
      <c r="E326" s="39" t="s">
        <v>492</v>
      </c>
      <c r="G326" s="40">
        <v>3.4236</v>
      </c>
      <c r="P326" s="41"/>
    </row>
    <row r="327" spans="1:47" x14ac:dyDescent="0.25">
      <c r="A327" s="38"/>
      <c r="D327" s="39" t="s">
        <v>493</v>
      </c>
      <c r="E327" s="39" t="s">
        <v>54</v>
      </c>
      <c r="G327" s="40">
        <v>1.5216000000000001</v>
      </c>
      <c r="P327" s="41"/>
    </row>
    <row r="328" spans="1:47" x14ac:dyDescent="0.25">
      <c r="A328" s="38"/>
      <c r="D328" s="39" t="s">
        <v>494</v>
      </c>
      <c r="E328" s="39" t="s">
        <v>54</v>
      </c>
      <c r="G328" s="40">
        <v>3.5503999999999998</v>
      </c>
      <c r="P328" s="41"/>
    </row>
    <row r="329" spans="1:47" x14ac:dyDescent="0.25">
      <c r="A329" s="38"/>
      <c r="D329" s="39" t="s">
        <v>495</v>
      </c>
      <c r="E329" s="39" t="s">
        <v>54</v>
      </c>
      <c r="G329" s="40">
        <v>9.4719999999999995</v>
      </c>
      <c r="P329" s="41"/>
    </row>
    <row r="330" spans="1:47" x14ac:dyDescent="0.25">
      <c r="A330" s="38"/>
      <c r="D330" s="39" t="s">
        <v>496</v>
      </c>
      <c r="E330" s="39" t="s">
        <v>54</v>
      </c>
      <c r="G330" s="40">
        <v>4.7359999999999998</v>
      </c>
      <c r="P330" s="41"/>
    </row>
    <row r="331" spans="1:47" x14ac:dyDescent="0.25">
      <c r="A331" s="38"/>
      <c r="D331" s="39" t="s">
        <v>497</v>
      </c>
      <c r="E331" s="39" t="s">
        <v>498</v>
      </c>
      <c r="G331" s="40">
        <v>3.0432000000000001</v>
      </c>
      <c r="P331" s="41"/>
    </row>
    <row r="332" spans="1:47" x14ac:dyDescent="0.25">
      <c r="A332" s="38"/>
      <c r="D332" s="39" t="s">
        <v>499</v>
      </c>
      <c r="E332" s="39" t="s">
        <v>500</v>
      </c>
      <c r="G332" s="40">
        <v>5.92</v>
      </c>
      <c r="P332" s="41"/>
    </row>
    <row r="333" spans="1:47" x14ac:dyDescent="0.25">
      <c r="A333" s="38"/>
      <c r="D333" s="39" t="s">
        <v>501</v>
      </c>
      <c r="E333" s="39" t="s">
        <v>502</v>
      </c>
      <c r="G333" s="40">
        <v>7.1040000000000001</v>
      </c>
      <c r="P333" s="41"/>
    </row>
    <row r="334" spans="1:47" x14ac:dyDescent="0.25">
      <c r="A334" s="38"/>
      <c r="D334" s="39" t="s">
        <v>503</v>
      </c>
      <c r="E334" s="39" t="s">
        <v>504</v>
      </c>
      <c r="G334" s="40">
        <v>11.52</v>
      </c>
      <c r="P334" s="41"/>
    </row>
    <row r="335" spans="1:47" x14ac:dyDescent="0.25">
      <c r="A335" s="38"/>
      <c r="D335" s="39" t="s">
        <v>505</v>
      </c>
      <c r="E335" s="39" t="s">
        <v>54</v>
      </c>
      <c r="G335" s="40">
        <v>3.84</v>
      </c>
      <c r="P335" s="41"/>
    </row>
    <row r="336" spans="1:47" x14ac:dyDescent="0.25">
      <c r="A336" s="31" t="s">
        <v>54</v>
      </c>
      <c r="B336" s="32" t="s">
        <v>413</v>
      </c>
      <c r="C336" s="32" t="s">
        <v>603</v>
      </c>
      <c r="D336" s="164" t="s">
        <v>604</v>
      </c>
      <c r="E336" s="165"/>
      <c r="F336" s="33" t="s">
        <v>3</v>
      </c>
      <c r="G336" s="33" t="s">
        <v>3</v>
      </c>
      <c r="H336" s="33"/>
      <c r="I336" s="33" t="s">
        <v>3</v>
      </c>
      <c r="J336" s="1">
        <f>SUM(J337:J343)</f>
        <v>0</v>
      </c>
      <c r="K336" s="1">
        <f>SUM(K337:K343)</f>
        <v>0</v>
      </c>
      <c r="L336" s="1">
        <f>SUM(L337:L343)</f>
        <v>0</v>
      </c>
      <c r="M336" s="1">
        <f>SUM(M337:M343)</f>
        <v>0</v>
      </c>
      <c r="N336" s="12" t="s">
        <v>54</v>
      </c>
      <c r="O336" s="1">
        <f>SUM(O337:O343)</f>
        <v>0.64105663000000002</v>
      </c>
      <c r="P336" s="34" t="s">
        <v>54</v>
      </c>
      <c r="AI336" s="12" t="s">
        <v>413</v>
      </c>
      <c r="AS336" s="1">
        <f>SUM(AJ337:AJ343)</f>
        <v>0</v>
      </c>
      <c r="AT336" s="1">
        <f>SUM(AK337:AK343)</f>
        <v>0</v>
      </c>
      <c r="AU336" s="1">
        <f>SUM(AL337:AL343)</f>
        <v>0</v>
      </c>
    </row>
    <row r="337" spans="1:76" x14ac:dyDescent="0.25">
      <c r="A337" s="2" t="s">
        <v>605</v>
      </c>
      <c r="B337" s="3" t="s">
        <v>413</v>
      </c>
      <c r="C337" s="3" t="s">
        <v>606</v>
      </c>
      <c r="D337" s="106" t="s">
        <v>607</v>
      </c>
      <c r="E337" s="107"/>
      <c r="F337" s="3" t="s">
        <v>72</v>
      </c>
      <c r="G337" s="35">
        <v>100.9538</v>
      </c>
      <c r="H337" s="35"/>
      <c r="I337" s="36" t="s">
        <v>63</v>
      </c>
      <c r="J337" s="35">
        <f>G337*AO337</f>
        <v>0</v>
      </c>
      <c r="K337" s="35">
        <f>G337*AP337</f>
        <v>0</v>
      </c>
      <c r="L337" s="35">
        <f>G337*H337</f>
        <v>0</v>
      </c>
      <c r="M337" s="35">
        <f>L337*(1+BW337/100)</f>
        <v>0</v>
      </c>
      <c r="N337" s="35">
        <v>6.3499999999999997E-3</v>
      </c>
      <c r="O337" s="35">
        <f>G337*N337</f>
        <v>0.64105663000000002</v>
      </c>
      <c r="P337" s="37" t="s">
        <v>64</v>
      </c>
      <c r="Z337" s="35">
        <f>IF(AQ337="5",BJ337,0)</f>
        <v>0</v>
      </c>
      <c r="AB337" s="35">
        <f>IF(AQ337="1",BH337,0)</f>
        <v>0</v>
      </c>
      <c r="AC337" s="35">
        <f>IF(AQ337="1",BI337,0)</f>
        <v>0</v>
      </c>
      <c r="AD337" s="35">
        <f>IF(AQ337="7",BH337,0)</f>
        <v>0</v>
      </c>
      <c r="AE337" s="35">
        <f>IF(AQ337="7",BI337,0)</f>
        <v>0</v>
      </c>
      <c r="AF337" s="35">
        <f>IF(AQ337="2",BH337,0)</f>
        <v>0</v>
      </c>
      <c r="AG337" s="35">
        <f>IF(AQ337="2",BI337,0)</f>
        <v>0</v>
      </c>
      <c r="AH337" s="35">
        <f>IF(AQ337="0",BJ337,0)</f>
        <v>0</v>
      </c>
      <c r="AI337" s="12" t="s">
        <v>413</v>
      </c>
      <c r="AJ337" s="35">
        <f>IF(AN337=0,L337,0)</f>
        <v>0</v>
      </c>
      <c r="AK337" s="35">
        <f>IF(AN337=12,L337,0)</f>
        <v>0</v>
      </c>
      <c r="AL337" s="35">
        <f>IF(AN337=21,L337,0)</f>
        <v>0</v>
      </c>
      <c r="AN337" s="35">
        <v>21</v>
      </c>
      <c r="AO337" s="35">
        <f>H337*0.372407568</f>
        <v>0</v>
      </c>
      <c r="AP337" s="35">
        <f>H337*(1-0.372407568)</f>
        <v>0</v>
      </c>
      <c r="AQ337" s="36" t="s">
        <v>59</v>
      </c>
      <c r="AV337" s="35">
        <f>AW337+AX337</f>
        <v>0</v>
      </c>
      <c r="AW337" s="35">
        <f>G337*AO337</f>
        <v>0</v>
      </c>
      <c r="AX337" s="35">
        <f>G337*AP337</f>
        <v>0</v>
      </c>
      <c r="AY337" s="36" t="s">
        <v>608</v>
      </c>
      <c r="AZ337" s="36" t="s">
        <v>609</v>
      </c>
      <c r="BA337" s="12" t="s">
        <v>418</v>
      </c>
      <c r="BC337" s="35">
        <f>AW337+AX337</f>
        <v>0</v>
      </c>
      <c r="BD337" s="35">
        <f>H337/(100-BE337)*100</f>
        <v>0</v>
      </c>
      <c r="BE337" s="35">
        <v>0</v>
      </c>
      <c r="BF337" s="35">
        <f>O337</f>
        <v>0.64105663000000002</v>
      </c>
      <c r="BH337" s="35">
        <f>G337*AO337</f>
        <v>0</v>
      </c>
      <c r="BI337" s="35">
        <f>G337*AP337</f>
        <v>0</v>
      </c>
      <c r="BJ337" s="35">
        <f>G337*H337</f>
        <v>0</v>
      </c>
      <c r="BK337" s="35"/>
      <c r="BL337" s="35">
        <v>94</v>
      </c>
      <c r="BW337" s="35" t="str">
        <f>I337</f>
        <v>21</v>
      </c>
      <c r="BX337" s="4" t="s">
        <v>607</v>
      </c>
    </row>
    <row r="338" spans="1:76" x14ac:dyDescent="0.25">
      <c r="A338" s="38"/>
      <c r="D338" s="39" t="s">
        <v>610</v>
      </c>
      <c r="E338" s="39" t="s">
        <v>54</v>
      </c>
      <c r="G338" s="40">
        <v>100.9538</v>
      </c>
      <c r="P338" s="41"/>
    </row>
    <row r="339" spans="1:76" x14ac:dyDescent="0.25">
      <c r="A339" s="2" t="s">
        <v>611</v>
      </c>
      <c r="B339" s="3" t="s">
        <v>413</v>
      </c>
      <c r="C339" s="3" t="s">
        <v>612</v>
      </c>
      <c r="D339" s="106" t="s">
        <v>613</v>
      </c>
      <c r="E339" s="107"/>
      <c r="F339" s="3" t="s">
        <v>614</v>
      </c>
      <c r="G339" s="35">
        <v>2</v>
      </c>
      <c r="H339" s="35"/>
      <c r="I339" s="36" t="s">
        <v>63</v>
      </c>
      <c r="J339" s="35">
        <f>G339*AO339</f>
        <v>0</v>
      </c>
      <c r="K339" s="35">
        <f>G339*AP339</f>
        <v>0</v>
      </c>
      <c r="L339" s="35">
        <f>G339*H339</f>
        <v>0</v>
      </c>
      <c r="M339" s="35">
        <f>L339*(1+BW339/100)</f>
        <v>0</v>
      </c>
      <c r="N339" s="35">
        <v>0</v>
      </c>
      <c r="O339" s="35">
        <f>G339*N339</f>
        <v>0</v>
      </c>
      <c r="P339" s="37" t="s">
        <v>64</v>
      </c>
      <c r="Z339" s="35">
        <f>IF(AQ339="5",BJ339,0)</f>
        <v>0</v>
      </c>
      <c r="AB339" s="35">
        <f>IF(AQ339="1",BH339,0)</f>
        <v>0</v>
      </c>
      <c r="AC339" s="35">
        <f>IF(AQ339="1",BI339,0)</f>
        <v>0</v>
      </c>
      <c r="AD339" s="35">
        <f>IF(AQ339="7",BH339,0)</f>
        <v>0</v>
      </c>
      <c r="AE339" s="35">
        <f>IF(AQ339="7",BI339,0)</f>
        <v>0</v>
      </c>
      <c r="AF339" s="35">
        <f>IF(AQ339="2",BH339,0)</f>
        <v>0</v>
      </c>
      <c r="AG339" s="35">
        <f>IF(AQ339="2",BI339,0)</f>
        <v>0</v>
      </c>
      <c r="AH339" s="35">
        <f>IF(AQ339="0",BJ339,0)</f>
        <v>0</v>
      </c>
      <c r="AI339" s="12" t="s">
        <v>413</v>
      </c>
      <c r="AJ339" s="35">
        <f>IF(AN339=0,L339,0)</f>
        <v>0</v>
      </c>
      <c r="AK339" s="35">
        <f>IF(AN339=12,L339,0)</f>
        <v>0</v>
      </c>
      <c r="AL339" s="35">
        <f>IF(AN339=21,L339,0)</f>
        <v>0</v>
      </c>
      <c r="AN339" s="35">
        <v>21</v>
      </c>
      <c r="AO339" s="35">
        <f>H339*0</f>
        <v>0</v>
      </c>
      <c r="AP339" s="35">
        <f>H339*(1-0)</f>
        <v>0</v>
      </c>
      <c r="AQ339" s="36" t="s">
        <v>59</v>
      </c>
      <c r="AV339" s="35">
        <f>AW339+AX339</f>
        <v>0</v>
      </c>
      <c r="AW339" s="35">
        <f>G339*AO339</f>
        <v>0</v>
      </c>
      <c r="AX339" s="35">
        <f>G339*AP339</f>
        <v>0</v>
      </c>
      <c r="AY339" s="36" t="s">
        <v>608</v>
      </c>
      <c r="AZ339" s="36" t="s">
        <v>609</v>
      </c>
      <c r="BA339" s="12" t="s">
        <v>418</v>
      </c>
      <c r="BC339" s="35">
        <f>AW339+AX339</f>
        <v>0</v>
      </c>
      <c r="BD339" s="35">
        <f>H339/(100-BE339)*100</f>
        <v>0</v>
      </c>
      <c r="BE339" s="35">
        <v>0</v>
      </c>
      <c r="BF339" s="35">
        <f>O339</f>
        <v>0</v>
      </c>
      <c r="BH339" s="35">
        <f>G339*AO339</f>
        <v>0</v>
      </c>
      <c r="BI339" s="35">
        <f>G339*AP339</f>
        <v>0</v>
      </c>
      <c r="BJ339" s="35">
        <f>G339*H339</f>
        <v>0</v>
      </c>
      <c r="BK339" s="35"/>
      <c r="BL339" s="35">
        <v>94</v>
      </c>
      <c r="BW339" s="35" t="str">
        <f>I339</f>
        <v>21</v>
      </c>
      <c r="BX339" s="4" t="s">
        <v>613</v>
      </c>
    </row>
    <row r="340" spans="1:76" x14ac:dyDescent="0.25">
      <c r="A340" s="2" t="s">
        <v>154</v>
      </c>
      <c r="B340" s="3" t="s">
        <v>413</v>
      </c>
      <c r="C340" s="3" t="s">
        <v>615</v>
      </c>
      <c r="D340" s="106" t="s">
        <v>616</v>
      </c>
      <c r="E340" s="107"/>
      <c r="F340" s="3" t="s">
        <v>614</v>
      </c>
      <c r="G340" s="35">
        <v>2</v>
      </c>
      <c r="H340" s="35"/>
      <c r="I340" s="36" t="s">
        <v>63</v>
      </c>
      <c r="J340" s="35">
        <f>G340*AO340</f>
        <v>0</v>
      </c>
      <c r="K340" s="35">
        <f>G340*AP340</f>
        <v>0</v>
      </c>
      <c r="L340" s="35">
        <f>G340*H340</f>
        <v>0</v>
      </c>
      <c r="M340" s="35">
        <f>L340*(1+BW340/100)</f>
        <v>0</v>
      </c>
      <c r="N340" s="35">
        <v>0</v>
      </c>
      <c r="O340" s="35">
        <f>G340*N340</f>
        <v>0</v>
      </c>
      <c r="P340" s="37" t="s">
        <v>64</v>
      </c>
      <c r="Z340" s="35">
        <f>IF(AQ340="5",BJ340,0)</f>
        <v>0</v>
      </c>
      <c r="AB340" s="35">
        <f>IF(AQ340="1",BH340,0)</f>
        <v>0</v>
      </c>
      <c r="AC340" s="35">
        <f>IF(AQ340="1",BI340,0)</f>
        <v>0</v>
      </c>
      <c r="AD340" s="35">
        <f>IF(AQ340="7",BH340,0)</f>
        <v>0</v>
      </c>
      <c r="AE340" s="35">
        <f>IF(AQ340="7",BI340,0)</f>
        <v>0</v>
      </c>
      <c r="AF340" s="35">
        <f>IF(AQ340="2",BH340,0)</f>
        <v>0</v>
      </c>
      <c r="AG340" s="35">
        <f>IF(AQ340="2",BI340,0)</f>
        <v>0</v>
      </c>
      <c r="AH340" s="35">
        <f>IF(AQ340="0",BJ340,0)</f>
        <v>0</v>
      </c>
      <c r="AI340" s="12" t="s">
        <v>413</v>
      </c>
      <c r="AJ340" s="35">
        <f>IF(AN340=0,L340,0)</f>
        <v>0</v>
      </c>
      <c r="AK340" s="35">
        <f>IF(AN340=12,L340,0)</f>
        <v>0</v>
      </c>
      <c r="AL340" s="35">
        <f>IF(AN340=21,L340,0)</f>
        <v>0</v>
      </c>
      <c r="AN340" s="35">
        <v>21</v>
      </c>
      <c r="AO340" s="35">
        <f>H340*0</f>
        <v>0</v>
      </c>
      <c r="AP340" s="35">
        <f>H340*(1-0)</f>
        <v>0</v>
      </c>
      <c r="AQ340" s="36" t="s">
        <v>59</v>
      </c>
      <c r="AV340" s="35">
        <f>AW340+AX340</f>
        <v>0</v>
      </c>
      <c r="AW340" s="35">
        <f>G340*AO340</f>
        <v>0</v>
      </c>
      <c r="AX340" s="35">
        <f>G340*AP340</f>
        <v>0</v>
      </c>
      <c r="AY340" s="36" t="s">
        <v>608</v>
      </c>
      <c r="AZ340" s="36" t="s">
        <v>609</v>
      </c>
      <c r="BA340" s="12" t="s">
        <v>418</v>
      </c>
      <c r="BC340" s="35">
        <f>AW340+AX340</f>
        <v>0</v>
      </c>
      <c r="BD340" s="35">
        <f>H340/(100-BE340)*100</f>
        <v>0</v>
      </c>
      <c r="BE340" s="35">
        <v>0</v>
      </c>
      <c r="BF340" s="35">
        <f>O340</f>
        <v>0</v>
      </c>
      <c r="BH340" s="35">
        <f>G340*AO340</f>
        <v>0</v>
      </c>
      <c r="BI340" s="35">
        <f>G340*AP340</f>
        <v>0</v>
      </c>
      <c r="BJ340" s="35">
        <f>G340*H340</f>
        <v>0</v>
      </c>
      <c r="BK340" s="35"/>
      <c r="BL340" s="35">
        <v>94</v>
      </c>
      <c r="BW340" s="35" t="str">
        <f>I340</f>
        <v>21</v>
      </c>
      <c r="BX340" s="4" t="s">
        <v>616</v>
      </c>
    </row>
    <row r="341" spans="1:76" x14ac:dyDescent="0.25">
      <c r="A341" s="2" t="s">
        <v>617</v>
      </c>
      <c r="B341" s="3" t="s">
        <v>413</v>
      </c>
      <c r="C341" s="3" t="s">
        <v>618</v>
      </c>
      <c r="D341" s="106" t="s">
        <v>619</v>
      </c>
      <c r="E341" s="107"/>
      <c r="F341" s="3" t="s">
        <v>620</v>
      </c>
      <c r="G341" s="35">
        <v>14</v>
      </c>
      <c r="H341" s="35"/>
      <c r="I341" s="36" t="s">
        <v>63</v>
      </c>
      <c r="J341" s="35">
        <f>G341*AO341</f>
        <v>0</v>
      </c>
      <c r="K341" s="35">
        <f>G341*AP341</f>
        <v>0</v>
      </c>
      <c r="L341" s="35">
        <f>G341*H341</f>
        <v>0</v>
      </c>
      <c r="M341" s="35">
        <f>L341*(1+BW341/100)</f>
        <v>0</v>
      </c>
      <c r="N341" s="35">
        <v>0</v>
      </c>
      <c r="O341" s="35">
        <f>G341*N341</f>
        <v>0</v>
      </c>
      <c r="P341" s="37" t="s">
        <v>64</v>
      </c>
      <c r="Z341" s="35">
        <f>IF(AQ341="5",BJ341,0)</f>
        <v>0</v>
      </c>
      <c r="AB341" s="35">
        <f>IF(AQ341="1",BH341,0)</f>
        <v>0</v>
      </c>
      <c r="AC341" s="35">
        <f>IF(AQ341="1",BI341,0)</f>
        <v>0</v>
      </c>
      <c r="AD341" s="35">
        <f>IF(AQ341="7",BH341,0)</f>
        <v>0</v>
      </c>
      <c r="AE341" s="35">
        <f>IF(AQ341="7",BI341,0)</f>
        <v>0</v>
      </c>
      <c r="AF341" s="35">
        <f>IF(AQ341="2",BH341,0)</f>
        <v>0</v>
      </c>
      <c r="AG341" s="35">
        <f>IF(AQ341="2",BI341,0)</f>
        <v>0</v>
      </c>
      <c r="AH341" s="35">
        <f>IF(AQ341="0",BJ341,0)</f>
        <v>0</v>
      </c>
      <c r="AI341" s="12" t="s">
        <v>413</v>
      </c>
      <c r="AJ341" s="35">
        <f>IF(AN341=0,L341,0)</f>
        <v>0</v>
      </c>
      <c r="AK341" s="35">
        <f>IF(AN341=12,L341,0)</f>
        <v>0</v>
      </c>
      <c r="AL341" s="35">
        <f>IF(AN341=21,L341,0)</f>
        <v>0</v>
      </c>
      <c r="AN341" s="35">
        <v>21</v>
      </c>
      <c r="AO341" s="35">
        <f>H341*0</f>
        <v>0</v>
      </c>
      <c r="AP341" s="35">
        <f>H341*(1-0)</f>
        <v>0</v>
      </c>
      <c r="AQ341" s="36" t="s">
        <v>59</v>
      </c>
      <c r="AV341" s="35">
        <f>AW341+AX341</f>
        <v>0</v>
      </c>
      <c r="AW341" s="35">
        <f>G341*AO341</f>
        <v>0</v>
      </c>
      <c r="AX341" s="35">
        <f>G341*AP341</f>
        <v>0</v>
      </c>
      <c r="AY341" s="36" t="s">
        <v>608</v>
      </c>
      <c r="AZ341" s="36" t="s">
        <v>609</v>
      </c>
      <c r="BA341" s="12" t="s">
        <v>418</v>
      </c>
      <c r="BC341" s="35">
        <f>AW341+AX341</f>
        <v>0</v>
      </c>
      <c r="BD341" s="35">
        <f>H341/(100-BE341)*100</f>
        <v>0</v>
      </c>
      <c r="BE341" s="35">
        <v>0</v>
      </c>
      <c r="BF341" s="35">
        <f>O341</f>
        <v>0</v>
      </c>
      <c r="BH341" s="35">
        <f>G341*AO341</f>
        <v>0</v>
      </c>
      <c r="BI341" s="35">
        <f>G341*AP341</f>
        <v>0</v>
      </c>
      <c r="BJ341" s="35">
        <f>G341*H341</f>
        <v>0</v>
      </c>
      <c r="BK341" s="35"/>
      <c r="BL341" s="35">
        <v>94</v>
      </c>
      <c r="BW341" s="35" t="str">
        <f>I341</f>
        <v>21</v>
      </c>
      <c r="BX341" s="4" t="s">
        <v>619</v>
      </c>
    </row>
    <row r="342" spans="1:76" x14ac:dyDescent="0.25">
      <c r="A342" s="2" t="s">
        <v>621</v>
      </c>
      <c r="B342" s="3" t="s">
        <v>413</v>
      </c>
      <c r="C342" s="3" t="s">
        <v>622</v>
      </c>
      <c r="D342" s="106" t="s">
        <v>623</v>
      </c>
      <c r="E342" s="107"/>
      <c r="F342" s="3" t="s">
        <v>110</v>
      </c>
      <c r="G342" s="35">
        <v>12</v>
      </c>
      <c r="H342" s="35"/>
      <c r="I342" s="36" t="s">
        <v>63</v>
      </c>
      <c r="J342" s="35">
        <f>G342*AO342</f>
        <v>0</v>
      </c>
      <c r="K342" s="35">
        <f>G342*AP342</f>
        <v>0</v>
      </c>
      <c r="L342" s="35">
        <f>G342*H342</f>
        <v>0</v>
      </c>
      <c r="M342" s="35">
        <f>L342*(1+BW342/100)</f>
        <v>0</v>
      </c>
      <c r="N342" s="35">
        <v>0</v>
      </c>
      <c r="O342" s="35">
        <f>G342*N342</f>
        <v>0</v>
      </c>
      <c r="P342" s="37" t="s">
        <v>64</v>
      </c>
      <c r="Z342" s="35">
        <f>IF(AQ342="5",BJ342,0)</f>
        <v>0</v>
      </c>
      <c r="AB342" s="35">
        <f>IF(AQ342="1",BH342,0)</f>
        <v>0</v>
      </c>
      <c r="AC342" s="35">
        <f>IF(AQ342="1",BI342,0)</f>
        <v>0</v>
      </c>
      <c r="AD342" s="35">
        <f>IF(AQ342="7",BH342,0)</f>
        <v>0</v>
      </c>
      <c r="AE342" s="35">
        <f>IF(AQ342="7",BI342,0)</f>
        <v>0</v>
      </c>
      <c r="AF342" s="35">
        <f>IF(AQ342="2",BH342,0)</f>
        <v>0</v>
      </c>
      <c r="AG342" s="35">
        <f>IF(AQ342="2",BI342,0)</f>
        <v>0</v>
      </c>
      <c r="AH342" s="35">
        <f>IF(AQ342="0",BJ342,0)</f>
        <v>0</v>
      </c>
      <c r="AI342" s="12" t="s">
        <v>413</v>
      </c>
      <c r="AJ342" s="35">
        <f>IF(AN342=0,L342,0)</f>
        <v>0</v>
      </c>
      <c r="AK342" s="35">
        <f>IF(AN342=12,L342,0)</f>
        <v>0</v>
      </c>
      <c r="AL342" s="35">
        <f>IF(AN342=21,L342,0)</f>
        <v>0</v>
      </c>
      <c r="AN342" s="35">
        <v>21</v>
      </c>
      <c r="AO342" s="35">
        <f>H342*0</f>
        <v>0</v>
      </c>
      <c r="AP342" s="35">
        <f>H342*(1-0)</f>
        <v>0</v>
      </c>
      <c r="AQ342" s="36" t="s">
        <v>59</v>
      </c>
      <c r="AV342" s="35">
        <f>AW342+AX342</f>
        <v>0</v>
      </c>
      <c r="AW342" s="35">
        <f>G342*AO342</f>
        <v>0</v>
      </c>
      <c r="AX342" s="35">
        <f>G342*AP342</f>
        <v>0</v>
      </c>
      <c r="AY342" s="36" t="s">
        <v>608</v>
      </c>
      <c r="AZ342" s="36" t="s">
        <v>609</v>
      </c>
      <c r="BA342" s="12" t="s">
        <v>418</v>
      </c>
      <c r="BC342" s="35">
        <f>AW342+AX342</f>
        <v>0</v>
      </c>
      <c r="BD342" s="35">
        <f>H342/(100-BE342)*100</f>
        <v>0</v>
      </c>
      <c r="BE342" s="35">
        <v>0</v>
      </c>
      <c r="BF342" s="35">
        <f>O342</f>
        <v>0</v>
      </c>
      <c r="BH342" s="35">
        <f>G342*AO342</f>
        <v>0</v>
      </c>
      <c r="BI342" s="35">
        <f>G342*AP342</f>
        <v>0</v>
      </c>
      <c r="BJ342" s="35">
        <f>G342*H342</f>
        <v>0</v>
      </c>
      <c r="BK342" s="35"/>
      <c r="BL342" s="35">
        <v>94</v>
      </c>
      <c r="BW342" s="35" t="str">
        <f>I342</f>
        <v>21</v>
      </c>
      <c r="BX342" s="4" t="s">
        <v>623</v>
      </c>
    </row>
    <row r="343" spans="1:76" x14ac:dyDescent="0.25">
      <c r="A343" s="2" t="s">
        <v>603</v>
      </c>
      <c r="B343" s="3" t="s">
        <v>413</v>
      </c>
      <c r="C343" s="3" t="s">
        <v>624</v>
      </c>
      <c r="D343" s="106" t="s">
        <v>625</v>
      </c>
      <c r="E343" s="107"/>
      <c r="F343" s="3" t="s">
        <v>626</v>
      </c>
      <c r="G343" s="35">
        <v>16</v>
      </c>
      <c r="H343" s="35"/>
      <c r="I343" s="36" t="s">
        <v>63</v>
      </c>
      <c r="J343" s="35">
        <f>G343*AO343</f>
        <v>0</v>
      </c>
      <c r="K343" s="35">
        <f>G343*AP343</f>
        <v>0</v>
      </c>
      <c r="L343" s="35">
        <f>G343*H343</f>
        <v>0</v>
      </c>
      <c r="M343" s="35">
        <f>L343*(1+BW343/100)</f>
        <v>0</v>
      </c>
      <c r="N343" s="35">
        <v>0</v>
      </c>
      <c r="O343" s="35">
        <f>G343*N343</f>
        <v>0</v>
      </c>
      <c r="P343" s="37" t="s">
        <v>219</v>
      </c>
      <c r="Z343" s="35">
        <f>IF(AQ343="5",BJ343,0)</f>
        <v>0</v>
      </c>
      <c r="AB343" s="35">
        <f>IF(AQ343="1",BH343,0)</f>
        <v>0</v>
      </c>
      <c r="AC343" s="35">
        <f>IF(AQ343="1",BI343,0)</f>
        <v>0</v>
      </c>
      <c r="AD343" s="35">
        <f>IF(AQ343="7",BH343,0)</f>
        <v>0</v>
      </c>
      <c r="AE343" s="35">
        <f>IF(AQ343="7",BI343,0)</f>
        <v>0</v>
      </c>
      <c r="AF343" s="35">
        <f>IF(AQ343="2",BH343,0)</f>
        <v>0</v>
      </c>
      <c r="AG343" s="35">
        <f>IF(AQ343="2",BI343,0)</f>
        <v>0</v>
      </c>
      <c r="AH343" s="35">
        <f>IF(AQ343="0",BJ343,0)</f>
        <v>0</v>
      </c>
      <c r="AI343" s="12" t="s">
        <v>413</v>
      </c>
      <c r="AJ343" s="35">
        <f>IF(AN343=0,L343,0)</f>
        <v>0</v>
      </c>
      <c r="AK343" s="35">
        <f>IF(AN343=12,L343,0)</f>
        <v>0</v>
      </c>
      <c r="AL343" s="35">
        <f>IF(AN343=21,L343,0)</f>
        <v>0</v>
      </c>
      <c r="AN343" s="35">
        <v>21</v>
      </c>
      <c r="AO343" s="35">
        <f>H343*0.000176032</f>
        <v>0</v>
      </c>
      <c r="AP343" s="35">
        <f>H343*(1-0.000176032)</f>
        <v>0</v>
      </c>
      <c r="AQ343" s="36" t="s">
        <v>59</v>
      </c>
      <c r="AV343" s="35">
        <f>AW343+AX343</f>
        <v>0</v>
      </c>
      <c r="AW343" s="35">
        <f>G343*AO343</f>
        <v>0</v>
      </c>
      <c r="AX343" s="35">
        <f>G343*AP343</f>
        <v>0</v>
      </c>
      <c r="AY343" s="36" t="s">
        <v>608</v>
      </c>
      <c r="AZ343" s="36" t="s">
        <v>609</v>
      </c>
      <c r="BA343" s="12" t="s">
        <v>418</v>
      </c>
      <c r="BC343" s="35">
        <f>AW343+AX343</f>
        <v>0</v>
      </c>
      <c r="BD343" s="35">
        <f>H343/(100-BE343)*100</f>
        <v>0</v>
      </c>
      <c r="BE343" s="35">
        <v>0</v>
      </c>
      <c r="BF343" s="35">
        <f>O343</f>
        <v>0</v>
      </c>
      <c r="BH343" s="35">
        <f>G343*AO343</f>
        <v>0</v>
      </c>
      <c r="BI343" s="35">
        <f>G343*AP343</f>
        <v>0</v>
      </c>
      <c r="BJ343" s="35">
        <f>G343*H343</f>
        <v>0</v>
      </c>
      <c r="BK343" s="35"/>
      <c r="BL343" s="35">
        <v>94</v>
      </c>
      <c r="BW343" s="35" t="str">
        <f>I343</f>
        <v>21</v>
      </c>
      <c r="BX343" s="4" t="s">
        <v>625</v>
      </c>
    </row>
    <row r="344" spans="1:76" x14ac:dyDescent="0.25">
      <c r="A344" s="31" t="s">
        <v>54</v>
      </c>
      <c r="B344" s="32" t="s">
        <v>413</v>
      </c>
      <c r="C344" s="32" t="s">
        <v>627</v>
      </c>
      <c r="D344" s="164" t="s">
        <v>628</v>
      </c>
      <c r="E344" s="165"/>
      <c r="F344" s="33" t="s">
        <v>3</v>
      </c>
      <c r="G344" s="33" t="s">
        <v>3</v>
      </c>
      <c r="H344" s="33"/>
      <c r="I344" s="33" t="s">
        <v>3</v>
      </c>
      <c r="J344" s="1">
        <f>SUM(J345:J345)</f>
        <v>0</v>
      </c>
      <c r="K344" s="1">
        <f>SUM(K345:K345)</f>
        <v>0</v>
      </c>
      <c r="L344" s="1">
        <f>SUM(L345:L345)</f>
        <v>0</v>
      </c>
      <c r="M344" s="1">
        <f>SUM(M345:M345)</f>
        <v>0</v>
      </c>
      <c r="N344" s="12" t="s">
        <v>54</v>
      </c>
      <c r="O344" s="1">
        <f>SUM(O345:O345)</f>
        <v>4.0381520000000006E-3</v>
      </c>
      <c r="P344" s="34" t="s">
        <v>54</v>
      </c>
      <c r="AI344" s="12" t="s">
        <v>413</v>
      </c>
      <c r="AS344" s="1">
        <f>SUM(AJ345:AJ345)</f>
        <v>0</v>
      </c>
      <c r="AT344" s="1">
        <f>SUM(AK345:AK345)</f>
        <v>0</v>
      </c>
      <c r="AU344" s="1">
        <f>SUM(AL345:AL345)</f>
        <v>0</v>
      </c>
    </row>
    <row r="345" spans="1:76" x14ac:dyDescent="0.25">
      <c r="A345" s="2" t="s">
        <v>627</v>
      </c>
      <c r="B345" s="3" t="s">
        <v>413</v>
      </c>
      <c r="C345" s="3" t="s">
        <v>629</v>
      </c>
      <c r="D345" s="106" t="s">
        <v>630</v>
      </c>
      <c r="E345" s="107"/>
      <c r="F345" s="3" t="s">
        <v>72</v>
      </c>
      <c r="G345" s="35">
        <v>100.9538</v>
      </c>
      <c r="H345" s="35"/>
      <c r="I345" s="36" t="s">
        <v>63</v>
      </c>
      <c r="J345" s="35">
        <f>G345*AO345</f>
        <v>0</v>
      </c>
      <c r="K345" s="35">
        <f>G345*AP345</f>
        <v>0</v>
      </c>
      <c r="L345" s="35">
        <f>G345*H345</f>
        <v>0</v>
      </c>
      <c r="M345" s="35">
        <f>L345*(1+BW345/100)</f>
        <v>0</v>
      </c>
      <c r="N345" s="35">
        <v>4.0000000000000003E-5</v>
      </c>
      <c r="O345" s="35">
        <f>G345*N345</f>
        <v>4.0381520000000006E-3</v>
      </c>
      <c r="P345" s="37" t="s">
        <v>64</v>
      </c>
      <c r="Z345" s="35">
        <f>IF(AQ345="5",BJ345,0)</f>
        <v>0</v>
      </c>
      <c r="AB345" s="35">
        <f>IF(AQ345="1",BH345,0)</f>
        <v>0</v>
      </c>
      <c r="AC345" s="35">
        <f>IF(AQ345="1",BI345,0)</f>
        <v>0</v>
      </c>
      <c r="AD345" s="35">
        <f>IF(AQ345="7",BH345,0)</f>
        <v>0</v>
      </c>
      <c r="AE345" s="35">
        <f>IF(AQ345="7",BI345,0)</f>
        <v>0</v>
      </c>
      <c r="AF345" s="35">
        <f>IF(AQ345="2",BH345,0)</f>
        <v>0</v>
      </c>
      <c r="AG345" s="35">
        <f>IF(AQ345="2",BI345,0)</f>
        <v>0</v>
      </c>
      <c r="AH345" s="35">
        <f>IF(AQ345="0",BJ345,0)</f>
        <v>0</v>
      </c>
      <c r="AI345" s="12" t="s">
        <v>413</v>
      </c>
      <c r="AJ345" s="35">
        <f>IF(AN345=0,L345,0)</f>
        <v>0</v>
      </c>
      <c r="AK345" s="35">
        <f>IF(AN345=12,L345,0)</f>
        <v>0</v>
      </c>
      <c r="AL345" s="35">
        <f>IF(AN345=21,L345,0)</f>
        <v>0</v>
      </c>
      <c r="AN345" s="35">
        <v>21</v>
      </c>
      <c r="AO345" s="35">
        <f>H345*0.016208174</f>
        <v>0</v>
      </c>
      <c r="AP345" s="35">
        <f>H345*(1-0.016208174)</f>
        <v>0</v>
      </c>
      <c r="AQ345" s="36" t="s">
        <v>59</v>
      </c>
      <c r="AV345" s="35">
        <f>AW345+AX345</f>
        <v>0</v>
      </c>
      <c r="AW345" s="35">
        <f>G345*AO345</f>
        <v>0</v>
      </c>
      <c r="AX345" s="35">
        <f>G345*AP345</f>
        <v>0</v>
      </c>
      <c r="AY345" s="36" t="s">
        <v>631</v>
      </c>
      <c r="AZ345" s="36" t="s">
        <v>609</v>
      </c>
      <c r="BA345" s="12" t="s">
        <v>418</v>
      </c>
      <c r="BC345" s="35">
        <f>AW345+AX345</f>
        <v>0</v>
      </c>
      <c r="BD345" s="35">
        <f>H345/(100-BE345)*100</f>
        <v>0</v>
      </c>
      <c r="BE345" s="35">
        <v>0</v>
      </c>
      <c r="BF345" s="35">
        <f>O345</f>
        <v>4.0381520000000006E-3</v>
      </c>
      <c r="BH345" s="35">
        <f>G345*AO345</f>
        <v>0</v>
      </c>
      <c r="BI345" s="35">
        <f>G345*AP345</f>
        <v>0</v>
      </c>
      <c r="BJ345" s="35">
        <f>G345*H345</f>
        <v>0</v>
      </c>
      <c r="BK345" s="35"/>
      <c r="BL345" s="35">
        <v>95</v>
      </c>
      <c r="BW345" s="35" t="str">
        <f>I345</f>
        <v>21</v>
      </c>
      <c r="BX345" s="4" t="s">
        <v>630</v>
      </c>
    </row>
    <row r="346" spans="1:76" x14ac:dyDescent="0.25">
      <c r="A346" s="38"/>
      <c r="D346" s="39" t="s">
        <v>610</v>
      </c>
      <c r="E346" s="39" t="s">
        <v>54</v>
      </c>
      <c r="G346" s="40">
        <v>100.9538</v>
      </c>
      <c r="P346" s="41"/>
    </row>
    <row r="347" spans="1:76" x14ac:dyDescent="0.25">
      <c r="A347" s="31" t="s">
        <v>54</v>
      </c>
      <c r="B347" s="32" t="s">
        <v>413</v>
      </c>
      <c r="C347" s="32" t="s">
        <v>161</v>
      </c>
      <c r="D347" s="164" t="s">
        <v>162</v>
      </c>
      <c r="E347" s="165"/>
      <c r="F347" s="33" t="s">
        <v>3</v>
      </c>
      <c r="G347" s="33" t="s">
        <v>3</v>
      </c>
      <c r="H347" s="33"/>
      <c r="I347" s="33" t="s">
        <v>3</v>
      </c>
      <c r="J347" s="1">
        <f>SUM(J348:J348)</f>
        <v>0</v>
      </c>
      <c r="K347" s="1">
        <f>SUM(K348:K348)</f>
        <v>0</v>
      </c>
      <c r="L347" s="1">
        <f>SUM(L348:L348)</f>
        <v>0</v>
      </c>
      <c r="M347" s="1">
        <f>SUM(M348:M348)</f>
        <v>0</v>
      </c>
      <c r="N347" s="12" t="s">
        <v>54</v>
      </c>
      <c r="O347" s="1">
        <f>SUM(O348:O348)</f>
        <v>1.6910399999999999</v>
      </c>
      <c r="P347" s="34" t="s">
        <v>54</v>
      </c>
      <c r="AI347" s="12" t="s">
        <v>413</v>
      </c>
      <c r="AS347" s="1">
        <f>SUM(AJ348:AJ348)</f>
        <v>0</v>
      </c>
      <c r="AT347" s="1">
        <f>SUM(AK348:AK348)</f>
        <v>0</v>
      </c>
      <c r="AU347" s="1">
        <f>SUM(AL348:AL348)</f>
        <v>0</v>
      </c>
    </row>
    <row r="348" spans="1:76" x14ac:dyDescent="0.25">
      <c r="A348" s="2" t="s">
        <v>161</v>
      </c>
      <c r="B348" s="3" t="s">
        <v>413</v>
      </c>
      <c r="C348" s="3" t="s">
        <v>632</v>
      </c>
      <c r="D348" s="106" t="s">
        <v>633</v>
      </c>
      <c r="E348" s="107"/>
      <c r="F348" s="3" t="s">
        <v>116</v>
      </c>
      <c r="G348" s="35">
        <v>0.7046</v>
      </c>
      <c r="H348" s="35"/>
      <c r="I348" s="36" t="s">
        <v>63</v>
      </c>
      <c r="J348" s="35">
        <f>G348*AO348</f>
        <v>0</v>
      </c>
      <c r="K348" s="35">
        <f>G348*AP348</f>
        <v>0</v>
      </c>
      <c r="L348" s="35">
        <f>G348*H348</f>
        <v>0</v>
      </c>
      <c r="M348" s="35">
        <f>L348*(1+BW348/100)</f>
        <v>0</v>
      </c>
      <c r="N348" s="35">
        <v>2.4</v>
      </c>
      <c r="O348" s="35">
        <f>G348*N348</f>
        <v>1.6910399999999999</v>
      </c>
      <c r="P348" s="37" t="s">
        <v>64</v>
      </c>
      <c r="Z348" s="35">
        <f>IF(AQ348="5",BJ348,0)</f>
        <v>0</v>
      </c>
      <c r="AB348" s="35">
        <f>IF(AQ348="1",BH348,0)</f>
        <v>0</v>
      </c>
      <c r="AC348" s="35">
        <f>IF(AQ348="1",BI348,0)</f>
        <v>0</v>
      </c>
      <c r="AD348" s="35">
        <f>IF(AQ348="7",BH348,0)</f>
        <v>0</v>
      </c>
      <c r="AE348" s="35">
        <f>IF(AQ348="7",BI348,0)</f>
        <v>0</v>
      </c>
      <c r="AF348" s="35">
        <f>IF(AQ348="2",BH348,0)</f>
        <v>0</v>
      </c>
      <c r="AG348" s="35">
        <f>IF(AQ348="2",BI348,0)</f>
        <v>0</v>
      </c>
      <c r="AH348" s="35">
        <f>IF(AQ348="0",BJ348,0)</f>
        <v>0</v>
      </c>
      <c r="AI348" s="12" t="s">
        <v>413</v>
      </c>
      <c r="AJ348" s="35">
        <f>IF(AN348=0,L348,0)</f>
        <v>0</v>
      </c>
      <c r="AK348" s="35">
        <f>IF(AN348=12,L348,0)</f>
        <v>0</v>
      </c>
      <c r="AL348" s="35">
        <f>IF(AN348=21,L348,0)</f>
        <v>0</v>
      </c>
      <c r="AN348" s="35">
        <v>21</v>
      </c>
      <c r="AO348" s="35">
        <f>H348*0</f>
        <v>0</v>
      </c>
      <c r="AP348" s="35">
        <f>H348*(1-0)</f>
        <v>0</v>
      </c>
      <c r="AQ348" s="36" t="s">
        <v>59</v>
      </c>
      <c r="AV348" s="35">
        <f>AW348+AX348</f>
        <v>0</v>
      </c>
      <c r="AW348" s="35">
        <f>G348*AO348</f>
        <v>0</v>
      </c>
      <c r="AX348" s="35">
        <f>G348*AP348</f>
        <v>0</v>
      </c>
      <c r="AY348" s="36" t="s">
        <v>166</v>
      </c>
      <c r="AZ348" s="36" t="s">
        <v>609</v>
      </c>
      <c r="BA348" s="12" t="s">
        <v>418</v>
      </c>
      <c r="BC348" s="35">
        <f>AW348+AX348</f>
        <v>0</v>
      </c>
      <c r="BD348" s="35">
        <f>H348/(100-BE348)*100</f>
        <v>0</v>
      </c>
      <c r="BE348" s="35">
        <v>0</v>
      </c>
      <c r="BF348" s="35">
        <f>O348</f>
        <v>1.6910399999999999</v>
      </c>
      <c r="BH348" s="35">
        <f>G348*AO348</f>
        <v>0</v>
      </c>
      <c r="BI348" s="35">
        <f>G348*AP348</f>
        <v>0</v>
      </c>
      <c r="BJ348" s="35">
        <f>G348*H348</f>
        <v>0</v>
      </c>
      <c r="BK348" s="35"/>
      <c r="BL348" s="35">
        <v>96</v>
      </c>
      <c r="BW348" s="35" t="str">
        <f>I348</f>
        <v>21</v>
      </c>
      <c r="BX348" s="4" t="s">
        <v>633</v>
      </c>
    </row>
    <row r="349" spans="1:76" x14ac:dyDescent="0.25">
      <c r="A349" s="38"/>
      <c r="D349" s="39" t="s">
        <v>634</v>
      </c>
      <c r="E349" s="39" t="s">
        <v>635</v>
      </c>
      <c r="G349" s="40">
        <v>6.8599999999999994E-2</v>
      </c>
      <c r="P349" s="41"/>
    </row>
    <row r="350" spans="1:76" x14ac:dyDescent="0.25">
      <c r="A350" s="38"/>
      <c r="D350" s="39" t="s">
        <v>636</v>
      </c>
      <c r="E350" s="39" t="s">
        <v>637</v>
      </c>
      <c r="G350" s="40">
        <v>0.38400000000000001</v>
      </c>
      <c r="P350" s="41"/>
    </row>
    <row r="351" spans="1:76" x14ac:dyDescent="0.25">
      <c r="A351" s="38"/>
      <c r="D351" s="39" t="s">
        <v>638</v>
      </c>
      <c r="E351" s="39" t="s">
        <v>54</v>
      </c>
      <c r="G351" s="40">
        <v>0.252</v>
      </c>
      <c r="P351" s="41"/>
    </row>
    <row r="352" spans="1:76" x14ac:dyDescent="0.25">
      <c r="A352" s="31" t="s">
        <v>54</v>
      </c>
      <c r="B352" s="32" t="s">
        <v>413</v>
      </c>
      <c r="C352" s="32" t="s">
        <v>639</v>
      </c>
      <c r="D352" s="164" t="s">
        <v>640</v>
      </c>
      <c r="E352" s="165"/>
      <c r="F352" s="33" t="s">
        <v>3</v>
      </c>
      <c r="G352" s="33" t="s">
        <v>3</v>
      </c>
      <c r="H352" s="33"/>
      <c r="I352" s="33" t="s">
        <v>3</v>
      </c>
      <c r="J352" s="1">
        <f>SUM(J353:J355)</f>
        <v>0</v>
      </c>
      <c r="K352" s="1">
        <f>SUM(K353:K355)</f>
        <v>0</v>
      </c>
      <c r="L352" s="1">
        <f>SUM(L353:L355)</f>
        <v>0</v>
      </c>
      <c r="M352" s="1">
        <f>SUM(M353:M355)</f>
        <v>0</v>
      </c>
      <c r="N352" s="12" t="s">
        <v>54</v>
      </c>
      <c r="O352" s="1">
        <f>SUM(O353:O355)</f>
        <v>3.6600000000000001E-3</v>
      </c>
      <c r="P352" s="34" t="s">
        <v>54</v>
      </c>
      <c r="AI352" s="12" t="s">
        <v>413</v>
      </c>
      <c r="AS352" s="1">
        <f>SUM(AJ353:AJ355)</f>
        <v>0</v>
      </c>
      <c r="AT352" s="1">
        <f>SUM(AK353:AK355)</f>
        <v>0</v>
      </c>
      <c r="AU352" s="1">
        <f>SUM(AL353:AL355)</f>
        <v>0</v>
      </c>
    </row>
    <row r="353" spans="1:76" x14ac:dyDescent="0.25">
      <c r="A353" s="2" t="s">
        <v>639</v>
      </c>
      <c r="B353" s="3" t="s">
        <v>413</v>
      </c>
      <c r="C353" s="3" t="s">
        <v>641</v>
      </c>
      <c r="D353" s="106" t="s">
        <v>642</v>
      </c>
      <c r="E353" s="107"/>
      <c r="F353" s="3" t="s">
        <v>62</v>
      </c>
      <c r="G353" s="35">
        <v>6</v>
      </c>
      <c r="H353" s="35"/>
      <c r="I353" s="36" t="s">
        <v>63</v>
      </c>
      <c r="J353" s="35">
        <f>G353*AO353</f>
        <v>0</v>
      </c>
      <c r="K353" s="35">
        <f>G353*AP353</f>
        <v>0</v>
      </c>
      <c r="L353" s="35">
        <f>G353*H353</f>
        <v>0</v>
      </c>
      <c r="M353" s="35">
        <f>L353*(1+BW353/100)</f>
        <v>0</v>
      </c>
      <c r="N353" s="35">
        <v>6.0999999999999997E-4</v>
      </c>
      <c r="O353" s="35">
        <f>G353*N353</f>
        <v>3.6600000000000001E-3</v>
      </c>
      <c r="P353" s="37" t="s">
        <v>64</v>
      </c>
      <c r="Z353" s="35">
        <f>IF(AQ353="5",BJ353,0)</f>
        <v>0</v>
      </c>
      <c r="AB353" s="35">
        <f>IF(AQ353="1",BH353,0)</f>
        <v>0</v>
      </c>
      <c r="AC353" s="35">
        <f>IF(AQ353="1",BI353,0)</f>
        <v>0</v>
      </c>
      <c r="AD353" s="35">
        <f>IF(AQ353="7",BH353,0)</f>
        <v>0</v>
      </c>
      <c r="AE353" s="35">
        <f>IF(AQ353="7",BI353,0)</f>
        <v>0</v>
      </c>
      <c r="AF353" s="35">
        <f>IF(AQ353="2",BH353,0)</f>
        <v>0</v>
      </c>
      <c r="AG353" s="35">
        <f>IF(AQ353="2",BI353,0)</f>
        <v>0</v>
      </c>
      <c r="AH353" s="35">
        <f>IF(AQ353="0",BJ353,0)</f>
        <v>0</v>
      </c>
      <c r="AI353" s="12" t="s">
        <v>413</v>
      </c>
      <c r="AJ353" s="35">
        <f>IF(AN353=0,L353,0)</f>
        <v>0</v>
      </c>
      <c r="AK353" s="35">
        <f>IF(AN353=12,L353,0)</f>
        <v>0</v>
      </c>
      <c r="AL353" s="35">
        <f>IF(AN353=21,L353,0)</f>
        <v>0</v>
      </c>
      <c r="AN353" s="35">
        <v>21</v>
      </c>
      <c r="AO353" s="35">
        <f>H353*0.26758042</f>
        <v>0</v>
      </c>
      <c r="AP353" s="35">
        <f>H353*(1-0.26758042)</f>
        <v>0</v>
      </c>
      <c r="AQ353" s="36" t="s">
        <v>59</v>
      </c>
      <c r="AV353" s="35">
        <f>AW353+AX353</f>
        <v>0</v>
      </c>
      <c r="AW353" s="35">
        <f>G353*AO353</f>
        <v>0</v>
      </c>
      <c r="AX353" s="35">
        <f>G353*AP353</f>
        <v>0</v>
      </c>
      <c r="AY353" s="36" t="s">
        <v>643</v>
      </c>
      <c r="AZ353" s="36" t="s">
        <v>609</v>
      </c>
      <c r="BA353" s="12" t="s">
        <v>418</v>
      </c>
      <c r="BC353" s="35">
        <f>AW353+AX353</f>
        <v>0</v>
      </c>
      <c r="BD353" s="35">
        <f>H353/(100-BE353)*100</f>
        <v>0</v>
      </c>
      <c r="BE353" s="35">
        <v>0</v>
      </c>
      <c r="BF353" s="35">
        <f>O353</f>
        <v>3.6600000000000001E-3</v>
      </c>
      <c r="BH353" s="35">
        <f>G353*AO353</f>
        <v>0</v>
      </c>
      <c r="BI353" s="35">
        <f>G353*AP353</f>
        <v>0</v>
      </c>
      <c r="BJ353" s="35">
        <f>G353*H353</f>
        <v>0</v>
      </c>
      <c r="BK353" s="35"/>
      <c r="BL353" s="35">
        <v>97</v>
      </c>
      <c r="BW353" s="35" t="str">
        <f>I353</f>
        <v>21</v>
      </c>
      <c r="BX353" s="4" t="s">
        <v>642</v>
      </c>
    </row>
    <row r="354" spans="1:76" x14ac:dyDescent="0.25">
      <c r="A354" s="38"/>
      <c r="D354" s="39" t="s">
        <v>644</v>
      </c>
      <c r="E354" s="39" t="s">
        <v>645</v>
      </c>
      <c r="G354" s="40">
        <v>6</v>
      </c>
      <c r="P354" s="41"/>
    </row>
    <row r="355" spans="1:76" x14ac:dyDescent="0.25">
      <c r="A355" s="2" t="s">
        <v>646</v>
      </c>
      <c r="B355" s="3" t="s">
        <v>413</v>
      </c>
      <c r="C355" s="3" t="s">
        <v>647</v>
      </c>
      <c r="D355" s="106" t="s">
        <v>648</v>
      </c>
      <c r="E355" s="107"/>
      <c r="F355" s="3" t="s">
        <v>511</v>
      </c>
      <c r="G355" s="35">
        <v>20</v>
      </c>
      <c r="H355" s="35"/>
      <c r="I355" s="36" t="s">
        <v>63</v>
      </c>
      <c r="J355" s="35">
        <f>G355*AO355</f>
        <v>0</v>
      </c>
      <c r="K355" s="35">
        <f>G355*AP355</f>
        <v>0</v>
      </c>
      <c r="L355" s="35">
        <f>G355*H355</f>
        <v>0</v>
      </c>
      <c r="M355" s="35">
        <f>L355*(1+BW355/100)</f>
        <v>0</v>
      </c>
      <c r="N355" s="35">
        <v>0</v>
      </c>
      <c r="O355" s="35">
        <f>G355*N355</f>
        <v>0</v>
      </c>
      <c r="P355" s="37" t="s">
        <v>219</v>
      </c>
      <c r="Z355" s="35">
        <f>IF(AQ355="5",BJ355,0)</f>
        <v>0</v>
      </c>
      <c r="AB355" s="35">
        <f>IF(AQ355="1",BH355,0)</f>
        <v>0</v>
      </c>
      <c r="AC355" s="35">
        <f>IF(AQ355="1",BI355,0)</f>
        <v>0</v>
      </c>
      <c r="AD355" s="35">
        <f>IF(AQ355="7",BH355,0)</f>
        <v>0</v>
      </c>
      <c r="AE355" s="35">
        <f>IF(AQ355="7",BI355,0)</f>
        <v>0</v>
      </c>
      <c r="AF355" s="35">
        <f>IF(AQ355="2",BH355,0)</f>
        <v>0</v>
      </c>
      <c r="AG355" s="35">
        <f>IF(AQ355="2",BI355,0)</f>
        <v>0</v>
      </c>
      <c r="AH355" s="35">
        <f>IF(AQ355="0",BJ355,0)</f>
        <v>0</v>
      </c>
      <c r="AI355" s="12" t="s">
        <v>413</v>
      </c>
      <c r="AJ355" s="35">
        <f>IF(AN355=0,L355,0)</f>
        <v>0</v>
      </c>
      <c r="AK355" s="35">
        <f>IF(AN355=12,L355,0)</f>
        <v>0</v>
      </c>
      <c r="AL355" s="35">
        <f>IF(AN355=21,L355,0)</f>
        <v>0</v>
      </c>
      <c r="AN355" s="35">
        <v>21</v>
      </c>
      <c r="AO355" s="35">
        <f>H355*1</f>
        <v>0</v>
      </c>
      <c r="AP355" s="35">
        <f>H355*(1-1)</f>
        <v>0</v>
      </c>
      <c r="AQ355" s="36" t="s">
        <v>59</v>
      </c>
      <c r="AV355" s="35">
        <f>AW355+AX355</f>
        <v>0</v>
      </c>
      <c r="AW355" s="35">
        <f>G355*AO355</f>
        <v>0</v>
      </c>
      <c r="AX355" s="35">
        <f>G355*AP355</f>
        <v>0</v>
      </c>
      <c r="AY355" s="36" t="s">
        <v>643</v>
      </c>
      <c r="AZ355" s="36" t="s">
        <v>609</v>
      </c>
      <c r="BA355" s="12" t="s">
        <v>418</v>
      </c>
      <c r="BC355" s="35">
        <f>AW355+AX355</f>
        <v>0</v>
      </c>
      <c r="BD355" s="35">
        <f>H355/(100-BE355)*100</f>
        <v>0</v>
      </c>
      <c r="BE355" s="35">
        <v>0</v>
      </c>
      <c r="BF355" s="35">
        <f>O355</f>
        <v>0</v>
      </c>
      <c r="BH355" s="35">
        <f>G355*AO355</f>
        <v>0</v>
      </c>
      <c r="BI355" s="35">
        <f>G355*AP355</f>
        <v>0</v>
      </c>
      <c r="BJ355" s="35">
        <f>G355*H355</f>
        <v>0</v>
      </c>
      <c r="BK355" s="35"/>
      <c r="BL355" s="35">
        <v>97</v>
      </c>
      <c r="BW355" s="35" t="str">
        <f>I355</f>
        <v>21</v>
      </c>
      <c r="BX355" s="4" t="s">
        <v>648</v>
      </c>
    </row>
    <row r="356" spans="1:76" x14ac:dyDescent="0.25">
      <c r="A356" s="38"/>
      <c r="D356" s="39" t="s">
        <v>649</v>
      </c>
      <c r="E356" s="39" t="s">
        <v>650</v>
      </c>
      <c r="G356" s="40">
        <v>20</v>
      </c>
      <c r="P356" s="41"/>
    </row>
    <row r="357" spans="1:76" x14ac:dyDescent="0.25">
      <c r="A357" s="38"/>
      <c r="D357" s="39" t="s">
        <v>54</v>
      </c>
      <c r="E357" s="39" t="s">
        <v>651</v>
      </c>
      <c r="G357" s="40">
        <v>0</v>
      </c>
      <c r="P357" s="41"/>
    </row>
    <row r="358" spans="1:76" x14ac:dyDescent="0.25">
      <c r="A358" s="31" t="s">
        <v>54</v>
      </c>
      <c r="B358" s="32" t="s">
        <v>413</v>
      </c>
      <c r="C358" s="32" t="s">
        <v>652</v>
      </c>
      <c r="D358" s="164" t="s">
        <v>653</v>
      </c>
      <c r="E358" s="165"/>
      <c r="F358" s="33" t="s">
        <v>3</v>
      </c>
      <c r="G358" s="33" t="s">
        <v>3</v>
      </c>
      <c r="H358" s="33"/>
      <c r="I358" s="33" t="s">
        <v>3</v>
      </c>
      <c r="J358" s="1">
        <f>SUM(J359:J359)</f>
        <v>0</v>
      </c>
      <c r="K358" s="1">
        <f>SUM(K359:K359)</f>
        <v>0</v>
      </c>
      <c r="L358" s="1">
        <f>SUM(L359:L359)</f>
        <v>0</v>
      </c>
      <c r="M358" s="1">
        <f>SUM(M359:M359)</f>
        <v>0</v>
      </c>
      <c r="N358" s="12" t="s">
        <v>54</v>
      </c>
      <c r="O358" s="1">
        <f>SUM(O359:O359)</f>
        <v>0</v>
      </c>
      <c r="P358" s="34" t="s">
        <v>54</v>
      </c>
      <c r="AI358" s="12" t="s">
        <v>413</v>
      </c>
      <c r="AS358" s="1">
        <f>SUM(AJ359:AJ359)</f>
        <v>0</v>
      </c>
      <c r="AT358" s="1">
        <f>SUM(AK359:AK359)</f>
        <v>0</v>
      </c>
      <c r="AU358" s="1">
        <f>SUM(AL359:AL359)</f>
        <v>0</v>
      </c>
    </row>
    <row r="359" spans="1:76" x14ac:dyDescent="0.25">
      <c r="A359" s="2" t="s">
        <v>410</v>
      </c>
      <c r="B359" s="3" t="s">
        <v>413</v>
      </c>
      <c r="C359" s="3" t="s">
        <v>654</v>
      </c>
      <c r="D359" s="106" t="s">
        <v>655</v>
      </c>
      <c r="E359" s="107"/>
      <c r="F359" s="3" t="s">
        <v>210</v>
      </c>
      <c r="G359" s="35">
        <v>35.148850000000003</v>
      </c>
      <c r="H359" s="35"/>
      <c r="I359" s="36" t="s">
        <v>63</v>
      </c>
      <c r="J359" s="35">
        <f>G359*AO359</f>
        <v>0</v>
      </c>
      <c r="K359" s="35">
        <f>G359*AP359</f>
        <v>0</v>
      </c>
      <c r="L359" s="35">
        <f>G359*H359</f>
        <v>0</v>
      </c>
      <c r="M359" s="35">
        <f>L359*(1+BW359/100)</f>
        <v>0</v>
      </c>
      <c r="N359" s="35">
        <v>0</v>
      </c>
      <c r="O359" s="35">
        <f>G359*N359</f>
        <v>0</v>
      </c>
      <c r="P359" s="37" t="s">
        <v>64</v>
      </c>
      <c r="Z359" s="35">
        <f>IF(AQ359="5",BJ359,0)</f>
        <v>0</v>
      </c>
      <c r="AB359" s="35">
        <f>IF(AQ359="1",BH359,0)</f>
        <v>0</v>
      </c>
      <c r="AC359" s="35">
        <f>IF(AQ359="1",BI359,0)</f>
        <v>0</v>
      </c>
      <c r="AD359" s="35">
        <f>IF(AQ359="7",BH359,0)</f>
        <v>0</v>
      </c>
      <c r="AE359" s="35">
        <f>IF(AQ359="7",BI359,0)</f>
        <v>0</v>
      </c>
      <c r="AF359" s="35">
        <f>IF(AQ359="2",BH359,0)</f>
        <v>0</v>
      </c>
      <c r="AG359" s="35">
        <f>IF(AQ359="2",BI359,0)</f>
        <v>0</v>
      </c>
      <c r="AH359" s="35">
        <f>IF(AQ359="0",BJ359,0)</f>
        <v>0</v>
      </c>
      <c r="AI359" s="12" t="s">
        <v>413</v>
      </c>
      <c r="AJ359" s="35">
        <f>IF(AN359=0,L359,0)</f>
        <v>0</v>
      </c>
      <c r="AK359" s="35">
        <f>IF(AN359=12,L359,0)</f>
        <v>0</v>
      </c>
      <c r="AL359" s="35">
        <f>IF(AN359=21,L359,0)</f>
        <v>0</v>
      </c>
      <c r="AN359" s="35">
        <v>21</v>
      </c>
      <c r="AO359" s="35">
        <f>H359*0</f>
        <v>0</v>
      </c>
      <c r="AP359" s="35">
        <f>H359*(1-0)</f>
        <v>0</v>
      </c>
      <c r="AQ359" s="36" t="s">
        <v>88</v>
      </c>
      <c r="AV359" s="35">
        <f>AW359+AX359</f>
        <v>0</v>
      </c>
      <c r="AW359" s="35">
        <f>G359*AO359</f>
        <v>0</v>
      </c>
      <c r="AX359" s="35">
        <f>G359*AP359</f>
        <v>0</v>
      </c>
      <c r="AY359" s="36" t="s">
        <v>656</v>
      </c>
      <c r="AZ359" s="36" t="s">
        <v>609</v>
      </c>
      <c r="BA359" s="12" t="s">
        <v>418</v>
      </c>
      <c r="BC359" s="35">
        <f>AW359+AX359</f>
        <v>0</v>
      </c>
      <c r="BD359" s="35">
        <f>H359/(100-BE359)*100</f>
        <v>0</v>
      </c>
      <c r="BE359" s="35">
        <v>0</v>
      </c>
      <c r="BF359" s="35">
        <f>O359</f>
        <v>0</v>
      </c>
      <c r="BH359" s="35">
        <f>G359*AO359</f>
        <v>0</v>
      </c>
      <c r="BI359" s="35">
        <f>G359*AP359</f>
        <v>0</v>
      </c>
      <c r="BJ359" s="35">
        <f>G359*H359</f>
        <v>0</v>
      </c>
      <c r="BK359" s="35"/>
      <c r="BL359" s="35"/>
      <c r="BW359" s="35" t="str">
        <f>I359</f>
        <v>21</v>
      </c>
      <c r="BX359" s="4" t="s">
        <v>655</v>
      </c>
    </row>
    <row r="360" spans="1:76" x14ac:dyDescent="0.25">
      <c r="A360" s="42" t="s">
        <v>54</v>
      </c>
      <c r="B360" s="43" t="s">
        <v>413</v>
      </c>
      <c r="C360" s="43" t="s">
        <v>657</v>
      </c>
      <c r="D360" s="170" t="s">
        <v>658</v>
      </c>
      <c r="E360" s="171"/>
      <c r="F360" s="44" t="s">
        <v>3</v>
      </c>
      <c r="G360" s="44" t="s">
        <v>3</v>
      </c>
      <c r="H360" s="44"/>
      <c r="I360" s="44" t="s">
        <v>3</v>
      </c>
      <c r="J360" s="45">
        <f>SUM(J361:J361)</f>
        <v>0</v>
      </c>
      <c r="K360" s="45">
        <f>SUM(K361:K361)</f>
        <v>0</v>
      </c>
      <c r="L360" s="45">
        <f>SUM(L361:L361)</f>
        <v>0</v>
      </c>
      <c r="M360" s="45">
        <f>SUM(M361:M361)</f>
        <v>0</v>
      </c>
      <c r="N360" s="46" t="s">
        <v>54</v>
      </c>
      <c r="O360" s="45">
        <f>SUM(O361:O361)</f>
        <v>0</v>
      </c>
      <c r="P360" s="47" t="s">
        <v>54</v>
      </c>
      <c r="AI360" s="12" t="s">
        <v>413</v>
      </c>
      <c r="AS360" s="1">
        <f>SUM(AJ361:AJ361)</f>
        <v>0</v>
      </c>
      <c r="AT360" s="1">
        <f>SUM(AK361:AK361)</f>
        <v>0</v>
      </c>
      <c r="AU360" s="1">
        <f>SUM(AL361:AL361)</f>
        <v>0</v>
      </c>
    </row>
    <row r="361" spans="1:76" x14ac:dyDescent="0.25">
      <c r="A361" s="48" t="s">
        <v>659</v>
      </c>
      <c r="B361" s="49" t="s">
        <v>413</v>
      </c>
      <c r="C361" s="49" t="s">
        <v>660</v>
      </c>
      <c r="D361" s="166" t="s">
        <v>661</v>
      </c>
      <c r="E361" s="167"/>
      <c r="F361" s="49" t="s">
        <v>662</v>
      </c>
      <c r="G361" s="50">
        <v>1</v>
      </c>
      <c r="H361" s="51"/>
      <c r="I361" s="52" t="s">
        <v>63</v>
      </c>
      <c r="J361" s="50">
        <f>G361*AO361</f>
        <v>0</v>
      </c>
      <c r="K361" s="50">
        <f>G361*AP361</f>
        <v>0</v>
      </c>
      <c r="L361" s="50">
        <f>G361*H361</f>
        <v>0</v>
      </c>
      <c r="M361" s="50">
        <f>L361*(1+BW361/100)</f>
        <v>0</v>
      </c>
      <c r="N361" s="50">
        <v>0</v>
      </c>
      <c r="O361" s="50">
        <f>G361*N361</f>
        <v>0</v>
      </c>
      <c r="P361" s="53" t="s">
        <v>54</v>
      </c>
      <c r="Z361" s="35">
        <f>IF(AQ361="5",BJ361,0)</f>
        <v>0</v>
      </c>
      <c r="AB361" s="35">
        <f>IF(AQ361="1",BH361,0)</f>
        <v>0</v>
      </c>
      <c r="AC361" s="35">
        <f>IF(AQ361="1",BI361,0)</f>
        <v>0</v>
      </c>
      <c r="AD361" s="35">
        <f>IF(AQ361="7",BH361,0)</f>
        <v>0</v>
      </c>
      <c r="AE361" s="35">
        <f>IF(AQ361="7",BI361,0)</f>
        <v>0</v>
      </c>
      <c r="AF361" s="35">
        <f>IF(AQ361="2",BH361,0)</f>
        <v>0</v>
      </c>
      <c r="AG361" s="35">
        <f>IF(AQ361="2",BI361,0)</f>
        <v>0</v>
      </c>
      <c r="AH361" s="35">
        <f>IF(AQ361="0",BJ361,0)</f>
        <v>0</v>
      </c>
      <c r="AI361" s="12" t="s">
        <v>413</v>
      </c>
      <c r="AJ361" s="35">
        <f>IF(AN361=0,L361,0)</f>
        <v>0</v>
      </c>
      <c r="AK361" s="35">
        <f>IF(AN361=12,L361,0)</f>
        <v>0</v>
      </c>
      <c r="AL361" s="35">
        <f>IF(AN361=21,L361,0)</f>
        <v>0</v>
      </c>
      <c r="AN361" s="35">
        <v>21</v>
      </c>
      <c r="AO361" s="35">
        <f>H361*0</f>
        <v>0</v>
      </c>
      <c r="AP361" s="35">
        <f>H361*(1-0)</f>
        <v>0</v>
      </c>
      <c r="AQ361" s="36" t="s">
        <v>59</v>
      </c>
      <c r="AV361" s="35">
        <f>AW361+AX361</f>
        <v>0</v>
      </c>
      <c r="AW361" s="35">
        <f>G361*AO361</f>
        <v>0</v>
      </c>
      <c r="AX361" s="35">
        <f>G361*AP361</f>
        <v>0</v>
      </c>
      <c r="AY361" s="36" t="s">
        <v>663</v>
      </c>
      <c r="AZ361" s="36" t="s">
        <v>609</v>
      </c>
      <c r="BA361" s="12" t="s">
        <v>418</v>
      </c>
      <c r="BC361" s="35">
        <f>AW361+AX361</f>
        <v>0</v>
      </c>
      <c r="BD361" s="35">
        <f>H361/(100-BE361)*100</f>
        <v>0</v>
      </c>
      <c r="BE361" s="35">
        <v>0</v>
      </c>
      <c r="BF361" s="35">
        <f>O361</f>
        <v>0</v>
      </c>
      <c r="BH361" s="35">
        <f>G361*AO361</f>
        <v>0</v>
      </c>
      <c r="BI361" s="35">
        <f>G361*AP361</f>
        <v>0</v>
      </c>
      <c r="BJ361" s="35">
        <f>G361*H361</f>
        <v>0</v>
      </c>
      <c r="BK361" s="35"/>
      <c r="BL361" s="35"/>
      <c r="BW361" s="35" t="str">
        <f>I361</f>
        <v>21</v>
      </c>
      <c r="BX361" s="4" t="s">
        <v>661</v>
      </c>
    </row>
    <row r="362" spans="1:76" x14ac:dyDescent="0.25">
      <c r="A362" s="54" t="s">
        <v>54</v>
      </c>
      <c r="B362" s="55" t="s">
        <v>413</v>
      </c>
      <c r="C362" s="55" t="s">
        <v>205</v>
      </c>
      <c r="D362" s="168" t="s">
        <v>206</v>
      </c>
      <c r="E362" s="169"/>
      <c r="F362" s="56" t="s">
        <v>3</v>
      </c>
      <c r="G362" s="56" t="s">
        <v>3</v>
      </c>
      <c r="H362" s="56"/>
      <c r="I362" s="56" t="s">
        <v>3</v>
      </c>
      <c r="J362" s="57">
        <f>SUM(J363:J378)</f>
        <v>0</v>
      </c>
      <c r="K362" s="57">
        <f>SUM(K363:K378)</f>
        <v>0</v>
      </c>
      <c r="L362" s="57">
        <f>SUM(L363:L378)</f>
        <v>0</v>
      </c>
      <c r="M362" s="57">
        <f>SUM(M363:M378)</f>
        <v>0</v>
      </c>
      <c r="N362" s="58" t="s">
        <v>54</v>
      </c>
      <c r="O362" s="57">
        <f>SUM(O363:O378)</f>
        <v>0</v>
      </c>
      <c r="P362" s="59" t="s">
        <v>54</v>
      </c>
      <c r="AI362" s="12" t="s">
        <v>413</v>
      </c>
      <c r="AS362" s="1">
        <f>SUM(AJ363:AJ378)</f>
        <v>0</v>
      </c>
      <c r="AT362" s="1">
        <f>SUM(AK363:AK378)</f>
        <v>0</v>
      </c>
      <c r="AU362" s="1">
        <f>SUM(AL363:AL378)</f>
        <v>0</v>
      </c>
    </row>
    <row r="363" spans="1:76" x14ac:dyDescent="0.25">
      <c r="A363" s="2" t="s">
        <v>306</v>
      </c>
      <c r="B363" s="3" t="s">
        <v>413</v>
      </c>
      <c r="C363" s="3" t="s">
        <v>664</v>
      </c>
      <c r="D363" s="106" t="s">
        <v>665</v>
      </c>
      <c r="E363" s="107"/>
      <c r="F363" s="3" t="s">
        <v>210</v>
      </c>
      <c r="G363" s="35">
        <v>22.077999999999999</v>
      </c>
      <c r="H363" s="35"/>
      <c r="I363" s="36" t="s">
        <v>63</v>
      </c>
      <c r="J363" s="35">
        <f>G363*AO363</f>
        <v>0</v>
      </c>
      <c r="K363" s="35">
        <f>G363*AP363</f>
        <v>0</v>
      </c>
      <c r="L363" s="35">
        <f>G363*H363</f>
        <v>0</v>
      </c>
      <c r="M363" s="35">
        <f>L363*(1+BW363/100)</f>
        <v>0</v>
      </c>
      <c r="N363" s="35">
        <v>0</v>
      </c>
      <c r="O363" s="35">
        <f>G363*N363</f>
        <v>0</v>
      </c>
      <c r="P363" s="37" t="s">
        <v>64</v>
      </c>
      <c r="Z363" s="35">
        <f>IF(AQ363="5",BJ363,0)</f>
        <v>0</v>
      </c>
      <c r="AB363" s="35">
        <f>IF(AQ363="1",BH363,0)</f>
        <v>0</v>
      </c>
      <c r="AC363" s="35">
        <f>IF(AQ363="1",BI363,0)</f>
        <v>0</v>
      </c>
      <c r="AD363" s="35">
        <f>IF(AQ363="7",BH363,0)</f>
        <v>0</v>
      </c>
      <c r="AE363" s="35">
        <f>IF(AQ363="7",BI363,0)</f>
        <v>0</v>
      </c>
      <c r="AF363" s="35">
        <f>IF(AQ363="2",BH363,0)</f>
        <v>0</v>
      </c>
      <c r="AG363" s="35">
        <f>IF(AQ363="2",BI363,0)</f>
        <v>0</v>
      </c>
      <c r="AH363" s="35">
        <f>IF(AQ363="0",BJ363,0)</f>
        <v>0</v>
      </c>
      <c r="AI363" s="12" t="s">
        <v>413</v>
      </c>
      <c r="AJ363" s="35">
        <f>IF(AN363=0,L363,0)</f>
        <v>0</v>
      </c>
      <c r="AK363" s="35">
        <f>IF(AN363=12,L363,0)</f>
        <v>0</v>
      </c>
      <c r="AL363" s="35">
        <f>IF(AN363=21,L363,0)</f>
        <v>0</v>
      </c>
      <c r="AN363" s="35">
        <v>21</v>
      </c>
      <c r="AO363" s="35">
        <f>H363*0</f>
        <v>0</v>
      </c>
      <c r="AP363" s="35">
        <f>H363*(1-0)</f>
        <v>0</v>
      </c>
      <c r="AQ363" s="36" t="s">
        <v>88</v>
      </c>
      <c r="AV363" s="35">
        <f>AW363+AX363</f>
        <v>0</v>
      </c>
      <c r="AW363" s="35">
        <f>G363*AO363</f>
        <v>0</v>
      </c>
      <c r="AX363" s="35">
        <f>G363*AP363</f>
        <v>0</v>
      </c>
      <c r="AY363" s="36" t="s">
        <v>211</v>
      </c>
      <c r="AZ363" s="36" t="s">
        <v>609</v>
      </c>
      <c r="BA363" s="12" t="s">
        <v>418</v>
      </c>
      <c r="BC363" s="35">
        <f>AW363+AX363</f>
        <v>0</v>
      </c>
      <c r="BD363" s="35">
        <f>H363/(100-BE363)*100</f>
        <v>0</v>
      </c>
      <c r="BE363" s="35">
        <v>0</v>
      </c>
      <c r="BF363" s="35">
        <f>O363</f>
        <v>0</v>
      </c>
      <c r="BH363" s="35">
        <f>G363*AO363</f>
        <v>0</v>
      </c>
      <c r="BI363" s="35">
        <f>G363*AP363</f>
        <v>0</v>
      </c>
      <c r="BJ363" s="35">
        <f>G363*H363</f>
        <v>0</v>
      </c>
      <c r="BK363" s="35"/>
      <c r="BL363" s="35"/>
      <c r="BW363" s="35" t="str">
        <f>I363</f>
        <v>21</v>
      </c>
      <c r="BX363" s="4" t="s">
        <v>665</v>
      </c>
    </row>
    <row r="364" spans="1:76" x14ac:dyDescent="0.25">
      <c r="A364" s="38"/>
      <c r="D364" s="39" t="s">
        <v>666</v>
      </c>
      <c r="E364" s="39" t="s">
        <v>54</v>
      </c>
      <c r="G364" s="40">
        <v>22.077999999999999</v>
      </c>
      <c r="P364" s="41"/>
    </row>
    <row r="365" spans="1:76" x14ac:dyDescent="0.25">
      <c r="A365" s="2" t="s">
        <v>667</v>
      </c>
      <c r="B365" s="3" t="s">
        <v>413</v>
      </c>
      <c r="C365" s="3" t="s">
        <v>668</v>
      </c>
      <c r="D365" s="106" t="s">
        <v>209</v>
      </c>
      <c r="E365" s="107"/>
      <c r="F365" s="3" t="s">
        <v>210</v>
      </c>
      <c r="G365" s="35">
        <v>22.077999999999999</v>
      </c>
      <c r="H365" s="35"/>
      <c r="I365" s="36" t="s">
        <v>63</v>
      </c>
      <c r="J365" s="35">
        <f>G365*AO365</f>
        <v>0</v>
      </c>
      <c r="K365" s="35">
        <f>G365*AP365</f>
        <v>0</v>
      </c>
      <c r="L365" s="35">
        <f>G365*H365</f>
        <v>0</v>
      </c>
      <c r="M365" s="35">
        <f>L365*(1+BW365/100)</f>
        <v>0</v>
      </c>
      <c r="N365" s="35">
        <v>0</v>
      </c>
      <c r="O365" s="35">
        <f>G365*N365</f>
        <v>0</v>
      </c>
      <c r="P365" s="37" t="s">
        <v>64</v>
      </c>
      <c r="Z365" s="35">
        <f>IF(AQ365="5",BJ365,0)</f>
        <v>0</v>
      </c>
      <c r="AB365" s="35">
        <f>IF(AQ365="1",BH365,0)</f>
        <v>0</v>
      </c>
      <c r="AC365" s="35">
        <f>IF(AQ365="1",BI365,0)</f>
        <v>0</v>
      </c>
      <c r="AD365" s="35">
        <f>IF(AQ365="7",BH365,0)</f>
        <v>0</v>
      </c>
      <c r="AE365" s="35">
        <f>IF(AQ365="7",BI365,0)</f>
        <v>0</v>
      </c>
      <c r="AF365" s="35">
        <f>IF(AQ365="2",BH365,0)</f>
        <v>0</v>
      </c>
      <c r="AG365" s="35">
        <f>IF(AQ365="2",BI365,0)</f>
        <v>0</v>
      </c>
      <c r="AH365" s="35">
        <f>IF(AQ365="0",BJ365,0)</f>
        <v>0</v>
      </c>
      <c r="AI365" s="12" t="s">
        <v>413</v>
      </c>
      <c r="AJ365" s="35">
        <f>IF(AN365=0,L365,0)</f>
        <v>0</v>
      </c>
      <c r="AK365" s="35">
        <f>IF(AN365=12,L365,0)</f>
        <v>0</v>
      </c>
      <c r="AL365" s="35">
        <f>IF(AN365=21,L365,0)</f>
        <v>0</v>
      </c>
      <c r="AN365" s="35">
        <v>21</v>
      </c>
      <c r="AO365" s="35">
        <f>H365*0</f>
        <v>0</v>
      </c>
      <c r="AP365" s="35">
        <f>H365*(1-0)</f>
        <v>0</v>
      </c>
      <c r="AQ365" s="36" t="s">
        <v>88</v>
      </c>
      <c r="AV365" s="35">
        <f>AW365+AX365</f>
        <v>0</v>
      </c>
      <c r="AW365" s="35">
        <f>G365*AO365</f>
        <v>0</v>
      </c>
      <c r="AX365" s="35">
        <f>G365*AP365</f>
        <v>0</v>
      </c>
      <c r="AY365" s="36" t="s">
        <v>211</v>
      </c>
      <c r="AZ365" s="36" t="s">
        <v>609</v>
      </c>
      <c r="BA365" s="12" t="s">
        <v>418</v>
      </c>
      <c r="BC365" s="35">
        <f>AW365+AX365</f>
        <v>0</v>
      </c>
      <c r="BD365" s="35">
        <f>H365/(100-BE365)*100</f>
        <v>0</v>
      </c>
      <c r="BE365" s="35">
        <v>0</v>
      </c>
      <c r="BF365" s="35">
        <f>O365</f>
        <v>0</v>
      </c>
      <c r="BH365" s="35">
        <f>G365*AO365</f>
        <v>0</v>
      </c>
      <c r="BI365" s="35">
        <f>G365*AP365</f>
        <v>0</v>
      </c>
      <c r="BJ365" s="35">
        <f>G365*H365</f>
        <v>0</v>
      </c>
      <c r="BK365" s="35"/>
      <c r="BL365" s="35"/>
      <c r="BW365" s="35" t="str">
        <f>I365</f>
        <v>21</v>
      </c>
      <c r="BX365" s="4" t="s">
        <v>209</v>
      </c>
    </row>
    <row r="366" spans="1:76" x14ac:dyDescent="0.25">
      <c r="A366" s="2" t="s">
        <v>669</v>
      </c>
      <c r="B366" s="3" t="s">
        <v>413</v>
      </c>
      <c r="C366" s="3" t="s">
        <v>670</v>
      </c>
      <c r="D366" s="106" t="s">
        <v>671</v>
      </c>
      <c r="E366" s="107"/>
      <c r="F366" s="3" t="s">
        <v>210</v>
      </c>
      <c r="G366" s="35">
        <v>31.077999999999999</v>
      </c>
      <c r="H366" s="35"/>
      <c r="I366" s="36" t="s">
        <v>63</v>
      </c>
      <c r="J366" s="35">
        <f>G366*AO366</f>
        <v>0</v>
      </c>
      <c r="K366" s="35">
        <f>G366*AP366</f>
        <v>0</v>
      </c>
      <c r="L366" s="35">
        <f>G366*H366</f>
        <v>0</v>
      </c>
      <c r="M366" s="35">
        <f>L366*(1+BW366/100)</f>
        <v>0</v>
      </c>
      <c r="N366" s="35">
        <v>0</v>
      </c>
      <c r="O366" s="35">
        <f>G366*N366</f>
        <v>0</v>
      </c>
      <c r="P366" s="37" t="s">
        <v>64</v>
      </c>
      <c r="Z366" s="35">
        <f>IF(AQ366="5",BJ366,0)</f>
        <v>0</v>
      </c>
      <c r="AB366" s="35">
        <f>IF(AQ366="1",BH366,0)</f>
        <v>0</v>
      </c>
      <c r="AC366" s="35">
        <f>IF(AQ366="1",BI366,0)</f>
        <v>0</v>
      </c>
      <c r="AD366" s="35">
        <f>IF(AQ366="7",BH366,0)</f>
        <v>0</v>
      </c>
      <c r="AE366" s="35">
        <f>IF(AQ366="7",BI366,0)</f>
        <v>0</v>
      </c>
      <c r="AF366" s="35">
        <f>IF(AQ366="2",BH366,0)</f>
        <v>0</v>
      </c>
      <c r="AG366" s="35">
        <f>IF(AQ366="2",BI366,0)</f>
        <v>0</v>
      </c>
      <c r="AH366" s="35">
        <f>IF(AQ366="0",BJ366,0)</f>
        <v>0</v>
      </c>
      <c r="AI366" s="12" t="s">
        <v>413</v>
      </c>
      <c r="AJ366" s="35">
        <f>IF(AN366=0,L366,0)</f>
        <v>0</v>
      </c>
      <c r="AK366" s="35">
        <f>IF(AN366=12,L366,0)</f>
        <v>0</v>
      </c>
      <c r="AL366" s="35">
        <f>IF(AN366=21,L366,0)</f>
        <v>0</v>
      </c>
      <c r="AN366" s="35">
        <v>21</v>
      </c>
      <c r="AO366" s="35">
        <f>H366*0</f>
        <v>0</v>
      </c>
      <c r="AP366" s="35">
        <f>H366*(1-0)</f>
        <v>0</v>
      </c>
      <c r="AQ366" s="36" t="s">
        <v>88</v>
      </c>
      <c r="AV366" s="35">
        <f>AW366+AX366</f>
        <v>0</v>
      </c>
      <c r="AW366" s="35">
        <f>G366*AO366</f>
        <v>0</v>
      </c>
      <c r="AX366" s="35">
        <f>G366*AP366</f>
        <v>0</v>
      </c>
      <c r="AY366" s="36" t="s">
        <v>211</v>
      </c>
      <c r="AZ366" s="36" t="s">
        <v>609</v>
      </c>
      <c r="BA366" s="12" t="s">
        <v>418</v>
      </c>
      <c r="BC366" s="35">
        <f>AW366+AX366</f>
        <v>0</v>
      </c>
      <c r="BD366" s="35">
        <f>H366/(100-BE366)*100</f>
        <v>0</v>
      </c>
      <c r="BE366" s="35">
        <v>0</v>
      </c>
      <c r="BF366" s="35">
        <f>O366</f>
        <v>0</v>
      </c>
      <c r="BH366" s="35">
        <f>G366*AO366</f>
        <v>0</v>
      </c>
      <c r="BI366" s="35">
        <f>G366*AP366</f>
        <v>0</v>
      </c>
      <c r="BJ366" s="35">
        <f>G366*H366</f>
        <v>0</v>
      </c>
      <c r="BK366" s="35"/>
      <c r="BL366" s="35"/>
      <c r="BW366" s="35" t="str">
        <f>I366</f>
        <v>21</v>
      </c>
      <c r="BX366" s="4" t="s">
        <v>671</v>
      </c>
    </row>
    <row r="367" spans="1:76" x14ac:dyDescent="0.25">
      <c r="A367" s="38"/>
      <c r="D367" s="39" t="s">
        <v>672</v>
      </c>
      <c r="E367" s="39" t="s">
        <v>54</v>
      </c>
      <c r="G367" s="40">
        <v>31.077999999999999</v>
      </c>
      <c r="P367" s="41"/>
    </row>
    <row r="368" spans="1:76" x14ac:dyDescent="0.25">
      <c r="A368" s="2" t="s">
        <v>673</v>
      </c>
      <c r="B368" s="3" t="s">
        <v>413</v>
      </c>
      <c r="C368" s="3" t="s">
        <v>674</v>
      </c>
      <c r="D368" s="106" t="s">
        <v>675</v>
      </c>
      <c r="E368" s="107"/>
      <c r="F368" s="3" t="s">
        <v>210</v>
      </c>
      <c r="G368" s="35">
        <v>0.76</v>
      </c>
      <c r="H368" s="35"/>
      <c r="I368" s="36" t="s">
        <v>63</v>
      </c>
      <c r="J368" s="35">
        <f>G368*AO368</f>
        <v>0</v>
      </c>
      <c r="K368" s="35">
        <f>G368*AP368</f>
        <v>0</v>
      </c>
      <c r="L368" s="35">
        <f>G368*H368</f>
        <v>0</v>
      </c>
      <c r="M368" s="35">
        <f>L368*(1+BW368/100)</f>
        <v>0</v>
      </c>
      <c r="N368" s="35">
        <v>0</v>
      </c>
      <c r="O368" s="35">
        <f>G368*N368</f>
        <v>0</v>
      </c>
      <c r="P368" s="37" t="s">
        <v>64</v>
      </c>
      <c r="Z368" s="35">
        <f>IF(AQ368="5",BJ368,0)</f>
        <v>0</v>
      </c>
      <c r="AB368" s="35">
        <f>IF(AQ368="1",BH368,0)</f>
        <v>0</v>
      </c>
      <c r="AC368" s="35">
        <f>IF(AQ368="1",BI368,0)</f>
        <v>0</v>
      </c>
      <c r="AD368" s="35">
        <f>IF(AQ368="7",BH368,0)</f>
        <v>0</v>
      </c>
      <c r="AE368" s="35">
        <f>IF(AQ368="7",BI368,0)</f>
        <v>0</v>
      </c>
      <c r="AF368" s="35">
        <f>IF(AQ368="2",BH368,0)</f>
        <v>0</v>
      </c>
      <c r="AG368" s="35">
        <f>IF(AQ368="2",BI368,0)</f>
        <v>0</v>
      </c>
      <c r="AH368" s="35">
        <f>IF(AQ368="0",BJ368,0)</f>
        <v>0</v>
      </c>
      <c r="AI368" s="12" t="s">
        <v>413</v>
      </c>
      <c r="AJ368" s="35">
        <f>IF(AN368=0,L368,0)</f>
        <v>0</v>
      </c>
      <c r="AK368" s="35">
        <f>IF(AN368=12,L368,0)</f>
        <v>0</v>
      </c>
      <c r="AL368" s="35">
        <f>IF(AN368=21,L368,0)</f>
        <v>0</v>
      </c>
      <c r="AN368" s="35">
        <v>21</v>
      </c>
      <c r="AO368" s="35">
        <f>H368*0</f>
        <v>0</v>
      </c>
      <c r="AP368" s="35">
        <f>H368*(1-0)</f>
        <v>0</v>
      </c>
      <c r="AQ368" s="36" t="s">
        <v>88</v>
      </c>
      <c r="AV368" s="35">
        <f>AW368+AX368</f>
        <v>0</v>
      </c>
      <c r="AW368" s="35">
        <f>G368*AO368</f>
        <v>0</v>
      </c>
      <c r="AX368" s="35">
        <f>G368*AP368</f>
        <v>0</v>
      </c>
      <c r="AY368" s="36" t="s">
        <v>211</v>
      </c>
      <c r="AZ368" s="36" t="s">
        <v>609</v>
      </c>
      <c r="BA368" s="12" t="s">
        <v>418</v>
      </c>
      <c r="BC368" s="35">
        <f>AW368+AX368</f>
        <v>0</v>
      </c>
      <c r="BD368" s="35">
        <f>H368/(100-BE368)*100</f>
        <v>0</v>
      </c>
      <c r="BE368" s="35">
        <v>0</v>
      </c>
      <c r="BF368" s="35">
        <f>O368</f>
        <v>0</v>
      </c>
      <c r="BH368" s="35">
        <f>G368*AO368</f>
        <v>0</v>
      </c>
      <c r="BI368" s="35">
        <f>G368*AP368</f>
        <v>0</v>
      </c>
      <c r="BJ368" s="35">
        <f>G368*H368</f>
        <v>0</v>
      </c>
      <c r="BK368" s="35"/>
      <c r="BL368" s="35"/>
      <c r="BW368" s="35" t="str">
        <f>I368</f>
        <v>21</v>
      </c>
      <c r="BX368" s="4" t="s">
        <v>675</v>
      </c>
    </row>
    <row r="369" spans="1:76" x14ac:dyDescent="0.25">
      <c r="A369" s="38"/>
      <c r="D369" s="39" t="s">
        <v>676</v>
      </c>
      <c r="E369" s="39" t="s">
        <v>677</v>
      </c>
      <c r="G369" s="40">
        <v>0.76</v>
      </c>
      <c r="P369" s="41"/>
    </row>
    <row r="370" spans="1:76" x14ac:dyDescent="0.25">
      <c r="A370" s="2" t="s">
        <v>678</v>
      </c>
      <c r="B370" s="3" t="s">
        <v>413</v>
      </c>
      <c r="C370" s="3" t="s">
        <v>679</v>
      </c>
      <c r="D370" s="106" t="s">
        <v>680</v>
      </c>
      <c r="E370" s="107"/>
      <c r="F370" s="3" t="s">
        <v>210</v>
      </c>
      <c r="G370" s="35">
        <v>0.76</v>
      </c>
      <c r="H370" s="35"/>
      <c r="I370" s="36" t="s">
        <v>63</v>
      </c>
      <c r="J370" s="35">
        <f>G370*AO370</f>
        <v>0</v>
      </c>
      <c r="K370" s="35">
        <f>G370*AP370</f>
        <v>0</v>
      </c>
      <c r="L370" s="35">
        <f>G370*H370</f>
        <v>0</v>
      </c>
      <c r="M370" s="35">
        <f>L370*(1+BW370/100)</f>
        <v>0</v>
      </c>
      <c r="N370" s="35">
        <v>0</v>
      </c>
      <c r="O370" s="35">
        <f>G370*N370</f>
        <v>0</v>
      </c>
      <c r="P370" s="37" t="s">
        <v>64</v>
      </c>
      <c r="Z370" s="35">
        <f>IF(AQ370="5",BJ370,0)</f>
        <v>0</v>
      </c>
      <c r="AB370" s="35">
        <f>IF(AQ370="1",BH370,0)</f>
        <v>0</v>
      </c>
      <c r="AC370" s="35">
        <f>IF(AQ370="1",BI370,0)</f>
        <v>0</v>
      </c>
      <c r="AD370" s="35">
        <f>IF(AQ370="7",BH370,0)</f>
        <v>0</v>
      </c>
      <c r="AE370" s="35">
        <f>IF(AQ370="7",BI370,0)</f>
        <v>0</v>
      </c>
      <c r="AF370" s="35">
        <f>IF(AQ370="2",BH370,0)</f>
        <v>0</v>
      </c>
      <c r="AG370" s="35">
        <f>IF(AQ370="2",BI370,0)</f>
        <v>0</v>
      </c>
      <c r="AH370" s="35">
        <f>IF(AQ370="0",BJ370,0)</f>
        <v>0</v>
      </c>
      <c r="AI370" s="12" t="s">
        <v>413</v>
      </c>
      <c r="AJ370" s="35">
        <f>IF(AN370=0,L370,0)</f>
        <v>0</v>
      </c>
      <c r="AK370" s="35">
        <f>IF(AN370=12,L370,0)</f>
        <v>0</v>
      </c>
      <c r="AL370" s="35">
        <f>IF(AN370=21,L370,0)</f>
        <v>0</v>
      </c>
      <c r="AN370" s="35">
        <v>21</v>
      </c>
      <c r="AO370" s="35">
        <f>H370*0</f>
        <v>0</v>
      </c>
      <c r="AP370" s="35">
        <f>H370*(1-0)</f>
        <v>0</v>
      </c>
      <c r="AQ370" s="36" t="s">
        <v>88</v>
      </c>
      <c r="AV370" s="35">
        <f>AW370+AX370</f>
        <v>0</v>
      </c>
      <c r="AW370" s="35">
        <f>G370*AO370</f>
        <v>0</v>
      </c>
      <c r="AX370" s="35">
        <f>G370*AP370</f>
        <v>0</v>
      </c>
      <c r="AY370" s="36" t="s">
        <v>211</v>
      </c>
      <c r="AZ370" s="36" t="s">
        <v>609</v>
      </c>
      <c r="BA370" s="12" t="s">
        <v>418</v>
      </c>
      <c r="BC370" s="35">
        <f>AW370+AX370</f>
        <v>0</v>
      </c>
      <c r="BD370" s="35">
        <f>H370/(100-BE370)*100</f>
        <v>0</v>
      </c>
      <c r="BE370" s="35">
        <v>0</v>
      </c>
      <c r="BF370" s="35">
        <f>O370</f>
        <v>0</v>
      </c>
      <c r="BH370" s="35">
        <f>G370*AO370</f>
        <v>0</v>
      </c>
      <c r="BI370" s="35">
        <f>G370*AP370</f>
        <v>0</v>
      </c>
      <c r="BJ370" s="35">
        <f>G370*H370</f>
        <v>0</v>
      </c>
      <c r="BK370" s="35"/>
      <c r="BL370" s="35"/>
      <c r="BW370" s="35" t="str">
        <f>I370</f>
        <v>21</v>
      </c>
      <c r="BX370" s="4" t="s">
        <v>680</v>
      </c>
    </row>
    <row r="371" spans="1:76" x14ac:dyDescent="0.25">
      <c r="A371" s="38"/>
      <c r="D371" s="39" t="s">
        <v>676</v>
      </c>
      <c r="E371" s="39" t="s">
        <v>677</v>
      </c>
      <c r="G371" s="40">
        <v>0.76</v>
      </c>
      <c r="P371" s="41"/>
    </row>
    <row r="372" spans="1:76" x14ac:dyDescent="0.25">
      <c r="A372" s="2" t="s">
        <v>681</v>
      </c>
      <c r="B372" s="3" t="s">
        <v>413</v>
      </c>
      <c r="C372" s="3" t="s">
        <v>682</v>
      </c>
      <c r="D372" s="106" t="s">
        <v>683</v>
      </c>
      <c r="E372" s="107"/>
      <c r="F372" s="3" t="s">
        <v>210</v>
      </c>
      <c r="G372" s="35">
        <v>1.69</v>
      </c>
      <c r="H372" s="35"/>
      <c r="I372" s="36" t="s">
        <v>63</v>
      </c>
      <c r="J372" s="35">
        <f>G372*AO372</f>
        <v>0</v>
      </c>
      <c r="K372" s="35">
        <f>G372*AP372</f>
        <v>0</v>
      </c>
      <c r="L372" s="35">
        <f>G372*H372</f>
        <v>0</v>
      </c>
      <c r="M372" s="35">
        <f>L372*(1+BW372/100)</f>
        <v>0</v>
      </c>
      <c r="N372" s="35">
        <v>0</v>
      </c>
      <c r="O372" s="35">
        <f>G372*N372</f>
        <v>0</v>
      </c>
      <c r="P372" s="37" t="s">
        <v>219</v>
      </c>
      <c r="Z372" s="35">
        <f>IF(AQ372="5",BJ372,0)</f>
        <v>0</v>
      </c>
      <c r="AB372" s="35">
        <f>IF(AQ372="1",BH372,0)</f>
        <v>0</v>
      </c>
      <c r="AC372" s="35">
        <f>IF(AQ372="1",BI372,0)</f>
        <v>0</v>
      </c>
      <c r="AD372" s="35">
        <f>IF(AQ372="7",BH372,0)</f>
        <v>0</v>
      </c>
      <c r="AE372" s="35">
        <f>IF(AQ372="7",BI372,0)</f>
        <v>0</v>
      </c>
      <c r="AF372" s="35">
        <f>IF(AQ372="2",BH372,0)</f>
        <v>0</v>
      </c>
      <c r="AG372" s="35">
        <f>IF(AQ372="2",BI372,0)</f>
        <v>0</v>
      </c>
      <c r="AH372" s="35">
        <f>IF(AQ372="0",BJ372,0)</f>
        <v>0</v>
      </c>
      <c r="AI372" s="12" t="s">
        <v>413</v>
      </c>
      <c r="AJ372" s="35">
        <f>IF(AN372=0,L372,0)</f>
        <v>0</v>
      </c>
      <c r="AK372" s="35">
        <f>IF(AN372=12,L372,0)</f>
        <v>0</v>
      </c>
      <c r="AL372" s="35">
        <f>IF(AN372=21,L372,0)</f>
        <v>0</v>
      </c>
      <c r="AN372" s="35">
        <v>21</v>
      </c>
      <c r="AO372" s="35">
        <f>H372*0</f>
        <v>0</v>
      </c>
      <c r="AP372" s="35">
        <f>H372*(1-0)</f>
        <v>0</v>
      </c>
      <c r="AQ372" s="36" t="s">
        <v>88</v>
      </c>
      <c r="AV372" s="35">
        <f>AW372+AX372</f>
        <v>0</v>
      </c>
      <c r="AW372" s="35">
        <f>G372*AO372</f>
        <v>0</v>
      </c>
      <c r="AX372" s="35">
        <f>G372*AP372</f>
        <v>0</v>
      </c>
      <c r="AY372" s="36" t="s">
        <v>211</v>
      </c>
      <c r="AZ372" s="36" t="s">
        <v>609</v>
      </c>
      <c r="BA372" s="12" t="s">
        <v>418</v>
      </c>
      <c r="BC372" s="35">
        <f>AW372+AX372</f>
        <v>0</v>
      </c>
      <c r="BD372" s="35">
        <f>H372/(100-BE372)*100</f>
        <v>0</v>
      </c>
      <c r="BE372" s="35">
        <v>0</v>
      </c>
      <c r="BF372" s="35">
        <f>O372</f>
        <v>0</v>
      </c>
      <c r="BH372" s="35">
        <f>G372*AO372</f>
        <v>0</v>
      </c>
      <c r="BI372" s="35">
        <f>G372*AP372</f>
        <v>0</v>
      </c>
      <c r="BJ372" s="35">
        <f>G372*H372</f>
        <v>0</v>
      </c>
      <c r="BK372" s="35"/>
      <c r="BL372" s="35"/>
      <c r="BW372" s="35" t="str">
        <f>I372</f>
        <v>21</v>
      </c>
      <c r="BX372" s="4" t="s">
        <v>683</v>
      </c>
    </row>
    <row r="373" spans="1:76" x14ac:dyDescent="0.25">
      <c r="A373" s="38"/>
      <c r="D373" s="39" t="s">
        <v>684</v>
      </c>
      <c r="E373" s="39" t="s">
        <v>685</v>
      </c>
      <c r="G373" s="40">
        <v>1.69</v>
      </c>
      <c r="P373" s="41"/>
    </row>
    <row r="374" spans="1:76" x14ac:dyDescent="0.25">
      <c r="A374" s="2" t="s">
        <v>686</v>
      </c>
      <c r="B374" s="3" t="s">
        <v>413</v>
      </c>
      <c r="C374" s="3" t="s">
        <v>687</v>
      </c>
      <c r="D374" s="106" t="s">
        <v>688</v>
      </c>
      <c r="E374" s="107"/>
      <c r="F374" s="3" t="s">
        <v>210</v>
      </c>
      <c r="G374" s="35">
        <v>16.847999999999999</v>
      </c>
      <c r="H374" s="35"/>
      <c r="I374" s="36" t="s">
        <v>63</v>
      </c>
      <c r="J374" s="35">
        <f>G374*AO374</f>
        <v>0</v>
      </c>
      <c r="K374" s="35">
        <f>G374*AP374</f>
        <v>0</v>
      </c>
      <c r="L374" s="35">
        <f>G374*H374</f>
        <v>0</v>
      </c>
      <c r="M374" s="35">
        <f>L374*(1+BW374/100)</f>
        <v>0</v>
      </c>
      <c r="N374" s="35">
        <v>0</v>
      </c>
      <c r="O374" s="35">
        <f>G374*N374</f>
        <v>0</v>
      </c>
      <c r="P374" s="37" t="s">
        <v>64</v>
      </c>
      <c r="Z374" s="35">
        <f>IF(AQ374="5",BJ374,0)</f>
        <v>0</v>
      </c>
      <c r="AB374" s="35">
        <f>IF(AQ374="1",BH374,0)</f>
        <v>0</v>
      </c>
      <c r="AC374" s="35">
        <f>IF(AQ374="1",BI374,0)</f>
        <v>0</v>
      </c>
      <c r="AD374" s="35">
        <f>IF(AQ374="7",BH374,0)</f>
        <v>0</v>
      </c>
      <c r="AE374" s="35">
        <f>IF(AQ374="7",BI374,0)</f>
        <v>0</v>
      </c>
      <c r="AF374" s="35">
        <f>IF(AQ374="2",BH374,0)</f>
        <v>0</v>
      </c>
      <c r="AG374" s="35">
        <f>IF(AQ374="2",BI374,0)</f>
        <v>0</v>
      </c>
      <c r="AH374" s="35">
        <f>IF(AQ374="0",BJ374,0)</f>
        <v>0</v>
      </c>
      <c r="AI374" s="12" t="s">
        <v>413</v>
      </c>
      <c r="AJ374" s="35">
        <f>IF(AN374=0,L374,0)</f>
        <v>0</v>
      </c>
      <c r="AK374" s="35">
        <f>IF(AN374=12,L374,0)</f>
        <v>0</v>
      </c>
      <c r="AL374" s="35">
        <f>IF(AN374=21,L374,0)</f>
        <v>0</v>
      </c>
      <c r="AN374" s="35">
        <v>21</v>
      </c>
      <c r="AO374" s="35">
        <f>H374*0</f>
        <v>0</v>
      </c>
      <c r="AP374" s="35">
        <f>H374*(1-0)</f>
        <v>0</v>
      </c>
      <c r="AQ374" s="36" t="s">
        <v>88</v>
      </c>
      <c r="AV374" s="35">
        <f>AW374+AX374</f>
        <v>0</v>
      </c>
      <c r="AW374" s="35">
        <f>G374*AO374</f>
        <v>0</v>
      </c>
      <c r="AX374" s="35">
        <f>G374*AP374</f>
        <v>0</v>
      </c>
      <c r="AY374" s="36" t="s">
        <v>211</v>
      </c>
      <c r="AZ374" s="36" t="s">
        <v>609</v>
      </c>
      <c r="BA374" s="12" t="s">
        <v>418</v>
      </c>
      <c r="BC374" s="35">
        <f>AW374+AX374</f>
        <v>0</v>
      </c>
      <c r="BD374" s="35">
        <f>H374/(100-BE374)*100</f>
        <v>0</v>
      </c>
      <c r="BE374" s="35">
        <v>0</v>
      </c>
      <c r="BF374" s="35">
        <f>O374</f>
        <v>0</v>
      </c>
      <c r="BH374" s="35">
        <f>G374*AO374</f>
        <v>0</v>
      </c>
      <c r="BI374" s="35">
        <f>G374*AP374</f>
        <v>0</v>
      </c>
      <c r="BJ374" s="35">
        <f>G374*H374</f>
        <v>0</v>
      </c>
      <c r="BK374" s="35"/>
      <c r="BL374" s="35"/>
      <c r="BW374" s="35" t="str">
        <f>I374</f>
        <v>21</v>
      </c>
      <c r="BX374" s="4" t="s">
        <v>688</v>
      </c>
    </row>
    <row r="375" spans="1:76" x14ac:dyDescent="0.25">
      <c r="A375" s="38"/>
      <c r="D375" s="39" t="s">
        <v>689</v>
      </c>
      <c r="E375" s="39" t="s">
        <v>690</v>
      </c>
      <c r="G375" s="40">
        <v>16.847999999999999</v>
      </c>
      <c r="P375" s="41"/>
    </row>
    <row r="376" spans="1:76" x14ac:dyDescent="0.25">
      <c r="A376" s="2" t="s">
        <v>691</v>
      </c>
      <c r="B376" s="3" t="s">
        <v>413</v>
      </c>
      <c r="C376" s="3" t="s">
        <v>692</v>
      </c>
      <c r="D376" s="106" t="s">
        <v>693</v>
      </c>
      <c r="E376" s="107"/>
      <c r="F376" s="3" t="s">
        <v>210</v>
      </c>
      <c r="G376" s="35">
        <v>2.71</v>
      </c>
      <c r="H376" s="35"/>
      <c r="I376" s="36" t="s">
        <v>63</v>
      </c>
      <c r="J376" s="35">
        <f>G376*AO376</f>
        <v>0</v>
      </c>
      <c r="K376" s="35">
        <f>G376*AP376</f>
        <v>0</v>
      </c>
      <c r="L376" s="35">
        <f>G376*H376</f>
        <v>0</v>
      </c>
      <c r="M376" s="35">
        <f>L376*(1+BW376/100)</f>
        <v>0</v>
      </c>
      <c r="N376" s="35">
        <v>0</v>
      </c>
      <c r="O376" s="35">
        <f>G376*N376</f>
        <v>0</v>
      </c>
      <c r="P376" s="37" t="s">
        <v>64</v>
      </c>
      <c r="Z376" s="35">
        <f>IF(AQ376="5",BJ376,0)</f>
        <v>0</v>
      </c>
      <c r="AB376" s="35">
        <f>IF(AQ376="1",BH376,0)</f>
        <v>0</v>
      </c>
      <c r="AC376" s="35">
        <f>IF(AQ376="1",BI376,0)</f>
        <v>0</v>
      </c>
      <c r="AD376" s="35">
        <f>IF(AQ376="7",BH376,0)</f>
        <v>0</v>
      </c>
      <c r="AE376" s="35">
        <f>IF(AQ376="7",BI376,0)</f>
        <v>0</v>
      </c>
      <c r="AF376" s="35">
        <f>IF(AQ376="2",BH376,0)</f>
        <v>0</v>
      </c>
      <c r="AG376" s="35">
        <f>IF(AQ376="2",BI376,0)</f>
        <v>0</v>
      </c>
      <c r="AH376" s="35">
        <f>IF(AQ376="0",BJ376,0)</f>
        <v>0</v>
      </c>
      <c r="AI376" s="12" t="s">
        <v>413</v>
      </c>
      <c r="AJ376" s="35">
        <f>IF(AN376=0,L376,0)</f>
        <v>0</v>
      </c>
      <c r="AK376" s="35">
        <f>IF(AN376=12,L376,0)</f>
        <v>0</v>
      </c>
      <c r="AL376" s="35">
        <f>IF(AN376=21,L376,0)</f>
        <v>0</v>
      </c>
      <c r="AN376" s="35">
        <v>21</v>
      </c>
      <c r="AO376" s="35">
        <f>H376*0</f>
        <v>0</v>
      </c>
      <c r="AP376" s="35">
        <f>H376*(1-0)</f>
        <v>0</v>
      </c>
      <c r="AQ376" s="36" t="s">
        <v>88</v>
      </c>
      <c r="AV376" s="35">
        <f>AW376+AX376</f>
        <v>0</v>
      </c>
      <c r="AW376" s="35">
        <f>G376*AO376</f>
        <v>0</v>
      </c>
      <c r="AX376" s="35">
        <f>G376*AP376</f>
        <v>0</v>
      </c>
      <c r="AY376" s="36" t="s">
        <v>211</v>
      </c>
      <c r="AZ376" s="36" t="s">
        <v>609</v>
      </c>
      <c r="BA376" s="12" t="s">
        <v>418</v>
      </c>
      <c r="BC376" s="35">
        <f>AW376+AX376</f>
        <v>0</v>
      </c>
      <c r="BD376" s="35">
        <f>H376/(100-BE376)*100</f>
        <v>0</v>
      </c>
      <c r="BE376" s="35">
        <v>0</v>
      </c>
      <c r="BF376" s="35">
        <f>O376</f>
        <v>0</v>
      </c>
      <c r="BH376" s="35">
        <f>G376*AO376</f>
        <v>0</v>
      </c>
      <c r="BI376" s="35">
        <f>G376*AP376</f>
        <v>0</v>
      </c>
      <c r="BJ376" s="35">
        <f>G376*H376</f>
        <v>0</v>
      </c>
      <c r="BK376" s="35"/>
      <c r="BL376" s="35"/>
      <c r="BW376" s="35" t="str">
        <f>I376</f>
        <v>21</v>
      </c>
      <c r="BX376" s="4" t="s">
        <v>693</v>
      </c>
    </row>
    <row r="377" spans="1:76" x14ac:dyDescent="0.25">
      <c r="A377" s="38"/>
      <c r="D377" s="39" t="s">
        <v>694</v>
      </c>
      <c r="E377" s="39" t="s">
        <v>695</v>
      </c>
      <c r="G377" s="40">
        <v>2.71</v>
      </c>
      <c r="P377" s="41"/>
    </row>
    <row r="378" spans="1:76" x14ac:dyDescent="0.25">
      <c r="A378" s="2" t="s">
        <v>696</v>
      </c>
      <c r="B378" s="3" t="s">
        <v>413</v>
      </c>
      <c r="C378" s="3" t="s">
        <v>697</v>
      </c>
      <c r="D378" s="106" t="s">
        <v>698</v>
      </c>
      <c r="E378" s="107"/>
      <c r="F378" s="3" t="s">
        <v>210</v>
      </c>
      <c r="G378" s="35">
        <v>0.83</v>
      </c>
      <c r="H378" s="35"/>
      <c r="I378" s="36" t="s">
        <v>63</v>
      </c>
      <c r="J378" s="35">
        <f>G378*AO378</f>
        <v>0</v>
      </c>
      <c r="K378" s="35">
        <f>G378*AP378</f>
        <v>0</v>
      </c>
      <c r="L378" s="35">
        <f>G378*H378</f>
        <v>0</v>
      </c>
      <c r="M378" s="35">
        <f>L378*(1+BW378/100)</f>
        <v>0</v>
      </c>
      <c r="N378" s="35">
        <v>0</v>
      </c>
      <c r="O378" s="35">
        <f>G378*N378</f>
        <v>0</v>
      </c>
      <c r="P378" s="37" t="s">
        <v>64</v>
      </c>
      <c r="Z378" s="35">
        <f>IF(AQ378="5",BJ378,0)</f>
        <v>0</v>
      </c>
      <c r="AB378" s="35">
        <f>IF(AQ378="1",BH378,0)</f>
        <v>0</v>
      </c>
      <c r="AC378" s="35">
        <f>IF(AQ378="1",BI378,0)</f>
        <v>0</v>
      </c>
      <c r="AD378" s="35">
        <f>IF(AQ378="7",BH378,0)</f>
        <v>0</v>
      </c>
      <c r="AE378" s="35">
        <f>IF(AQ378="7",BI378,0)</f>
        <v>0</v>
      </c>
      <c r="AF378" s="35">
        <f>IF(AQ378="2",BH378,0)</f>
        <v>0</v>
      </c>
      <c r="AG378" s="35">
        <f>IF(AQ378="2",BI378,0)</f>
        <v>0</v>
      </c>
      <c r="AH378" s="35">
        <f>IF(AQ378="0",BJ378,0)</f>
        <v>0</v>
      </c>
      <c r="AI378" s="12" t="s">
        <v>413</v>
      </c>
      <c r="AJ378" s="35">
        <f>IF(AN378=0,L378,0)</f>
        <v>0</v>
      </c>
      <c r="AK378" s="35">
        <f>IF(AN378=12,L378,0)</f>
        <v>0</v>
      </c>
      <c r="AL378" s="35">
        <f>IF(AN378=21,L378,0)</f>
        <v>0</v>
      </c>
      <c r="AN378" s="35">
        <v>21</v>
      </c>
      <c r="AO378" s="35">
        <f>H378*0</f>
        <v>0</v>
      </c>
      <c r="AP378" s="35">
        <f>H378*(1-0)</f>
        <v>0</v>
      </c>
      <c r="AQ378" s="36" t="s">
        <v>88</v>
      </c>
      <c r="AV378" s="35">
        <f>AW378+AX378</f>
        <v>0</v>
      </c>
      <c r="AW378" s="35">
        <f>G378*AO378</f>
        <v>0</v>
      </c>
      <c r="AX378" s="35">
        <f>G378*AP378</f>
        <v>0</v>
      </c>
      <c r="AY378" s="36" t="s">
        <v>211</v>
      </c>
      <c r="AZ378" s="36" t="s">
        <v>609</v>
      </c>
      <c r="BA378" s="12" t="s">
        <v>418</v>
      </c>
      <c r="BC378" s="35">
        <f>AW378+AX378</f>
        <v>0</v>
      </c>
      <c r="BD378" s="35">
        <f>H378/(100-BE378)*100</f>
        <v>0</v>
      </c>
      <c r="BE378" s="35">
        <v>0</v>
      </c>
      <c r="BF378" s="35">
        <f>O378</f>
        <v>0</v>
      </c>
      <c r="BH378" s="35">
        <f>G378*AO378</f>
        <v>0</v>
      </c>
      <c r="BI378" s="35">
        <f>G378*AP378</f>
        <v>0</v>
      </c>
      <c r="BJ378" s="35">
        <f>G378*H378</f>
        <v>0</v>
      </c>
      <c r="BK378" s="35"/>
      <c r="BL378" s="35"/>
      <c r="BW378" s="35" t="str">
        <f>I378</f>
        <v>21</v>
      </c>
      <c r="BX378" s="4" t="s">
        <v>698</v>
      </c>
    </row>
    <row r="379" spans="1:76" x14ac:dyDescent="0.25">
      <c r="A379" s="38"/>
      <c r="D379" s="39" t="s">
        <v>699</v>
      </c>
      <c r="E379" s="39" t="s">
        <v>700</v>
      </c>
      <c r="G379" s="40">
        <v>7.0000000000000007E-2</v>
      </c>
      <c r="P379" s="41"/>
    </row>
    <row r="380" spans="1:76" x14ac:dyDescent="0.25">
      <c r="A380" s="38"/>
      <c r="D380" s="39" t="s">
        <v>676</v>
      </c>
      <c r="E380" s="39" t="s">
        <v>701</v>
      </c>
      <c r="G380" s="40">
        <v>0.76</v>
      </c>
      <c r="P380" s="41"/>
    </row>
    <row r="381" spans="1:76" x14ac:dyDescent="0.25">
      <c r="A381" s="31" t="s">
        <v>54</v>
      </c>
      <c r="B381" s="32" t="s">
        <v>702</v>
      </c>
      <c r="C381" s="32" t="s">
        <v>54</v>
      </c>
      <c r="D381" s="164" t="s">
        <v>703</v>
      </c>
      <c r="E381" s="165"/>
      <c r="F381" s="33" t="s">
        <v>3</v>
      </c>
      <c r="G381" s="33" t="s">
        <v>3</v>
      </c>
      <c r="H381" s="33" t="s">
        <v>3</v>
      </c>
      <c r="I381" s="33" t="s">
        <v>3</v>
      </c>
      <c r="J381" s="1">
        <f>J383</f>
        <v>0</v>
      </c>
      <c r="K381" s="1">
        <f>K383</f>
        <v>0</v>
      </c>
      <c r="L381" s="1">
        <f>L383</f>
        <v>0</v>
      </c>
      <c r="M381" s="1">
        <f>M383</f>
        <v>0</v>
      </c>
      <c r="N381" s="12" t="s">
        <v>54</v>
      </c>
      <c r="O381" s="1">
        <f>O383</f>
        <v>0</v>
      </c>
      <c r="P381" s="34" t="s">
        <v>54</v>
      </c>
    </row>
    <row r="382" spans="1:76" x14ac:dyDescent="0.25">
      <c r="A382" s="31" t="s">
        <v>54</v>
      </c>
      <c r="B382" s="32" t="s">
        <v>702</v>
      </c>
      <c r="C382" s="32" t="s">
        <v>402</v>
      </c>
      <c r="D382" s="164" t="s">
        <v>403</v>
      </c>
      <c r="E382" s="165"/>
      <c r="F382" s="33" t="s">
        <v>3</v>
      </c>
      <c r="G382" s="33" t="s">
        <v>3</v>
      </c>
      <c r="H382" s="33" t="s">
        <v>3</v>
      </c>
      <c r="I382" s="33" t="s">
        <v>3</v>
      </c>
      <c r="J382" s="1">
        <f>J383</f>
        <v>0</v>
      </c>
      <c r="K382" s="1">
        <f>K383</f>
        <v>0</v>
      </c>
      <c r="L382" s="1">
        <f>L383</f>
        <v>0</v>
      </c>
      <c r="M382" s="1">
        <f>M383</f>
        <v>0</v>
      </c>
      <c r="N382" s="12" t="s">
        <v>54</v>
      </c>
      <c r="O382" s="1">
        <f>O383</f>
        <v>0</v>
      </c>
      <c r="P382" s="34" t="s">
        <v>54</v>
      </c>
      <c r="AI382" s="12" t="s">
        <v>702</v>
      </c>
    </row>
    <row r="383" spans="1:76" x14ac:dyDescent="0.25">
      <c r="A383" s="31" t="s">
        <v>54</v>
      </c>
      <c r="B383" s="32" t="s">
        <v>702</v>
      </c>
      <c r="C383" s="32" t="s">
        <v>704</v>
      </c>
      <c r="D383" s="164" t="s">
        <v>705</v>
      </c>
      <c r="E383" s="165"/>
      <c r="F383" s="33" t="s">
        <v>3</v>
      </c>
      <c r="G383" s="33" t="s">
        <v>3</v>
      </c>
      <c r="H383" s="33" t="s">
        <v>3</v>
      </c>
      <c r="I383" s="33" t="s">
        <v>3</v>
      </c>
      <c r="J383" s="1">
        <f>SUM(J384:J396)</f>
        <v>0</v>
      </c>
      <c r="K383" s="1">
        <f>SUM(K384:K396)</f>
        <v>0</v>
      </c>
      <c r="L383" s="1">
        <f>SUM(L384:L396)</f>
        <v>0</v>
      </c>
      <c r="M383" s="1">
        <f>SUM(M384:M396)</f>
        <v>0</v>
      </c>
      <c r="N383" s="12" t="s">
        <v>54</v>
      </c>
      <c r="O383" s="1">
        <f>SUM(O384:O396)</f>
        <v>0</v>
      </c>
      <c r="P383" s="34" t="s">
        <v>54</v>
      </c>
      <c r="AI383" s="12" t="s">
        <v>702</v>
      </c>
      <c r="AS383" s="1">
        <f>SUM(AJ384:AJ396)</f>
        <v>0</v>
      </c>
      <c r="AT383" s="1">
        <f>SUM(AK384:AK396)</f>
        <v>0</v>
      </c>
      <c r="AU383" s="1">
        <f>SUM(AL384:AL396)</f>
        <v>0</v>
      </c>
    </row>
    <row r="384" spans="1:76" x14ac:dyDescent="0.25">
      <c r="A384" s="2" t="s">
        <v>706</v>
      </c>
      <c r="B384" s="3" t="s">
        <v>702</v>
      </c>
      <c r="C384" s="3" t="s">
        <v>707</v>
      </c>
      <c r="D384" s="106" t="s">
        <v>708</v>
      </c>
      <c r="E384" s="107"/>
      <c r="F384" s="3" t="s">
        <v>409</v>
      </c>
      <c r="G384" s="35">
        <v>1</v>
      </c>
      <c r="H384" s="35"/>
      <c r="I384" s="36" t="s">
        <v>63</v>
      </c>
      <c r="J384" s="35">
        <f t="shared" ref="J384:J396" si="0">G384*AO384</f>
        <v>0</v>
      </c>
      <c r="K384" s="35">
        <f t="shared" ref="K384:K396" si="1">G384*AP384</f>
        <v>0</v>
      </c>
      <c r="L384" s="35">
        <f t="shared" ref="L384:L396" si="2">G384*H384</f>
        <v>0</v>
      </c>
      <c r="M384" s="35">
        <f t="shared" ref="M384:M396" si="3">L384*(1+BW384/100)</f>
        <v>0</v>
      </c>
      <c r="N384" s="35">
        <v>0</v>
      </c>
      <c r="O384" s="35">
        <f t="shared" ref="O384:O396" si="4">G384*N384</f>
        <v>0</v>
      </c>
      <c r="P384" s="37" t="s">
        <v>64</v>
      </c>
      <c r="Z384" s="35">
        <f t="shared" ref="Z384:Z396" si="5">IF(AQ384="5",BJ384,0)</f>
        <v>0</v>
      </c>
      <c r="AB384" s="35">
        <f t="shared" ref="AB384:AB396" si="6">IF(AQ384="1",BH384,0)</f>
        <v>0</v>
      </c>
      <c r="AC384" s="35">
        <f t="shared" ref="AC384:AC396" si="7">IF(AQ384="1",BI384,0)</f>
        <v>0</v>
      </c>
      <c r="AD384" s="35">
        <f t="shared" ref="AD384:AD396" si="8">IF(AQ384="7",BH384,0)</f>
        <v>0</v>
      </c>
      <c r="AE384" s="35">
        <f t="shared" ref="AE384:AE396" si="9">IF(AQ384="7",BI384,0)</f>
        <v>0</v>
      </c>
      <c r="AF384" s="35">
        <f t="shared" ref="AF384:AF396" si="10">IF(AQ384="2",BH384,0)</f>
        <v>0</v>
      </c>
      <c r="AG384" s="35">
        <f t="shared" ref="AG384:AG396" si="11">IF(AQ384="2",BI384,0)</f>
        <v>0</v>
      </c>
      <c r="AH384" s="35">
        <f t="shared" ref="AH384:AH396" si="12">IF(AQ384="0",BJ384,0)</f>
        <v>0</v>
      </c>
      <c r="AI384" s="12" t="s">
        <v>702</v>
      </c>
      <c r="AJ384" s="35">
        <f t="shared" ref="AJ384:AJ396" si="13">IF(AN384=0,L384,0)</f>
        <v>0</v>
      </c>
      <c r="AK384" s="35">
        <f t="shared" ref="AK384:AK396" si="14">IF(AN384=12,L384,0)</f>
        <v>0</v>
      </c>
      <c r="AL384" s="35">
        <f t="shared" ref="AL384:AL396" si="15">IF(AN384=21,L384,0)</f>
        <v>0</v>
      </c>
      <c r="AN384" s="35">
        <v>21</v>
      </c>
      <c r="AO384" s="35">
        <f t="shared" ref="AO384:AO396" si="16">H384*0</f>
        <v>0</v>
      </c>
      <c r="AP384" s="35">
        <f t="shared" ref="AP384:AP396" si="17">H384*(1-0)</f>
        <v>0</v>
      </c>
      <c r="AQ384" s="36" t="s">
        <v>410</v>
      </c>
      <c r="AV384" s="35">
        <f t="shared" ref="AV384:AV396" si="18">AW384+AX384</f>
        <v>0</v>
      </c>
      <c r="AW384" s="35">
        <f t="shared" ref="AW384:AW396" si="19">G384*AO384</f>
        <v>0</v>
      </c>
      <c r="AX384" s="35">
        <f t="shared" ref="AX384:AX396" si="20">G384*AP384</f>
        <v>0</v>
      </c>
      <c r="AY384" s="36" t="s">
        <v>709</v>
      </c>
      <c r="AZ384" s="36" t="s">
        <v>710</v>
      </c>
      <c r="BA384" s="12" t="s">
        <v>711</v>
      </c>
      <c r="BC384" s="35">
        <f t="shared" ref="BC384:BC396" si="21">AW384+AX384</f>
        <v>0</v>
      </c>
      <c r="BD384" s="35">
        <f t="shared" ref="BD384:BD396" si="22">H384/(100-BE384)*100</f>
        <v>0</v>
      </c>
      <c r="BE384" s="35">
        <v>0</v>
      </c>
      <c r="BF384" s="35">
        <f t="shared" ref="BF384:BF396" si="23">O384</f>
        <v>0</v>
      </c>
      <c r="BH384" s="35">
        <f t="shared" ref="BH384:BH396" si="24">G384*AO384</f>
        <v>0</v>
      </c>
      <c r="BI384" s="35">
        <f t="shared" ref="BI384:BI396" si="25">G384*AP384</f>
        <v>0</v>
      </c>
      <c r="BJ384" s="35">
        <f t="shared" ref="BJ384:BJ396" si="26">G384*H384</f>
        <v>0</v>
      </c>
      <c r="BK384" s="35"/>
      <c r="BL384" s="35"/>
      <c r="BO384" s="35">
        <f t="shared" ref="BO384:BO396" si="27">G384*H384</f>
        <v>0</v>
      </c>
      <c r="BW384" s="35" t="str">
        <f t="shared" ref="BW384:BW396" si="28">I384</f>
        <v>21</v>
      </c>
      <c r="BX384" s="4" t="s">
        <v>708</v>
      </c>
    </row>
    <row r="385" spans="1:76" ht="25.5" x14ac:dyDescent="0.25">
      <c r="A385" s="2" t="s">
        <v>712</v>
      </c>
      <c r="B385" s="3" t="s">
        <v>702</v>
      </c>
      <c r="C385" s="3" t="s">
        <v>713</v>
      </c>
      <c r="D385" s="106" t="s">
        <v>714</v>
      </c>
      <c r="E385" s="107"/>
      <c r="F385" s="3" t="s">
        <v>409</v>
      </c>
      <c r="G385" s="35">
        <v>1</v>
      </c>
      <c r="H385" s="35"/>
      <c r="I385" s="36" t="s">
        <v>63</v>
      </c>
      <c r="J385" s="35">
        <f t="shared" si="0"/>
        <v>0</v>
      </c>
      <c r="K385" s="35">
        <f t="shared" si="1"/>
        <v>0</v>
      </c>
      <c r="L385" s="35">
        <f t="shared" si="2"/>
        <v>0</v>
      </c>
      <c r="M385" s="35">
        <f t="shared" si="3"/>
        <v>0</v>
      </c>
      <c r="N385" s="35">
        <v>0</v>
      </c>
      <c r="O385" s="35">
        <f t="shared" si="4"/>
        <v>0</v>
      </c>
      <c r="P385" s="37" t="s">
        <v>54</v>
      </c>
      <c r="Z385" s="35">
        <f t="shared" si="5"/>
        <v>0</v>
      </c>
      <c r="AB385" s="35">
        <f t="shared" si="6"/>
        <v>0</v>
      </c>
      <c r="AC385" s="35">
        <f t="shared" si="7"/>
        <v>0</v>
      </c>
      <c r="AD385" s="35">
        <f t="shared" si="8"/>
        <v>0</v>
      </c>
      <c r="AE385" s="35">
        <f t="shared" si="9"/>
        <v>0</v>
      </c>
      <c r="AF385" s="35">
        <f t="shared" si="10"/>
        <v>0</v>
      </c>
      <c r="AG385" s="35">
        <f t="shared" si="11"/>
        <v>0</v>
      </c>
      <c r="AH385" s="35">
        <f t="shared" si="12"/>
        <v>0</v>
      </c>
      <c r="AI385" s="12" t="s">
        <v>702</v>
      </c>
      <c r="AJ385" s="35">
        <f t="shared" si="13"/>
        <v>0</v>
      </c>
      <c r="AK385" s="35">
        <f t="shared" si="14"/>
        <v>0</v>
      </c>
      <c r="AL385" s="35">
        <f t="shared" si="15"/>
        <v>0</v>
      </c>
      <c r="AN385" s="35">
        <v>21</v>
      </c>
      <c r="AO385" s="35">
        <f t="shared" si="16"/>
        <v>0</v>
      </c>
      <c r="AP385" s="35">
        <f t="shared" si="17"/>
        <v>0</v>
      </c>
      <c r="AQ385" s="36" t="s">
        <v>410</v>
      </c>
      <c r="AV385" s="35">
        <f t="shared" si="18"/>
        <v>0</v>
      </c>
      <c r="AW385" s="35">
        <f t="shared" si="19"/>
        <v>0</v>
      </c>
      <c r="AX385" s="35">
        <f t="shared" si="20"/>
        <v>0</v>
      </c>
      <c r="AY385" s="36" t="s">
        <v>709</v>
      </c>
      <c r="AZ385" s="36" t="s">
        <v>710</v>
      </c>
      <c r="BA385" s="12" t="s">
        <v>711</v>
      </c>
      <c r="BC385" s="35">
        <f t="shared" si="21"/>
        <v>0</v>
      </c>
      <c r="BD385" s="35">
        <f t="shared" si="22"/>
        <v>0</v>
      </c>
      <c r="BE385" s="35">
        <v>0</v>
      </c>
      <c r="BF385" s="35">
        <f t="shared" si="23"/>
        <v>0</v>
      </c>
      <c r="BH385" s="35">
        <f t="shared" si="24"/>
        <v>0</v>
      </c>
      <c r="BI385" s="35">
        <f t="shared" si="25"/>
        <v>0</v>
      </c>
      <c r="BJ385" s="35">
        <f t="shared" si="26"/>
        <v>0</v>
      </c>
      <c r="BK385" s="35"/>
      <c r="BL385" s="35"/>
      <c r="BO385" s="35">
        <f t="shared" si="27"/>
        <v>0</v>
      </c>
      <c r="BW385" s="35" t="str">
        <f t="shared" si="28"/>
        <v>21</v>
      </c>
      <c r="BX385" s="4" t="s">
        <v>714</v>
      </c>
    </row>
    <row r="386" spans="1:76" x14ac:dyDescent="0.25">
      <c r="A386" s="2" t="s">
        <v>715</v>
      </c>
      <c r="B386" s="3" t="s">
        <v>702</v>
      </c>
      <c r="C386" s="3" t="s">
        <v>716</v>
      </c>
      <c r="D386" s="106" t="s">
        <v>717</v>
      </c>
      <c r="E386" s="107"/>
      <c r="F386" s="3" t="s">
        <v>409</v>
      </c>
      <c r="G386" s="35">
        <v>1</v>
      </c>
      <c r="H386" s="35"/>
      <c r="I386" s="36" t="s">
        <v>63</v>
      </c>
      <c r="J386" s="35">
        <f t="shared" si="0"/>
        <v>0</v>
      </c>
      <c r="K386" s="35">
        <f t="shared" si="1"/>
        <v>0</v>
      </c>
      <c r="L386" s="35">
        <f t="shared" si="2"/>
        <v>0</v>
      </c>
      <c r="M386" s="35">
        <f t="shared" si="3"/>
        <v>0</v>
      </c>
      <c r="N386" s="35">
        <v>0</v>
      </c>
      <c r="O386" s="35">
        <f t="shared" si="4"/>
        <v>0</v>
      </c>
      <c r="P386" s="37" t="s">
        <v>54</v>
      </c>
      <c r="Z386" s="35">
        <f t="shared" si="5"/>
        <v>0</v>
      </c>
      <c r="AB386" s="35">
        <f t="shared" si="6"/>
        <v>0</v>
      </c>
      <c r="AC386" s="35">
        <f t="shared" si="7"/>
        <v>0</v>
      </c>
      <c r="AD386" s="35">
        <f t="shared" si="8"/>
        <v>0</v>
      </c>
      <c r="AE386" s="35">
        <f t="shared" si="9"/>
        <v>0</v>
      </c>
      <c r="AF386" s="35">
        <f t="shared" si="10"/>
        <v>0</v>
      </c>
      <c r="AG386" s="35">
        <f t="shared" si="11"/>
        <v>0</v>
      </c>
      <c r="AH386" s="35">
        <f t="shared" si="12"/>
        <v>0</v>
      </c>
      <c r="AI386" s="12" t="s">
        <v>702</v>
      </c>
      <c r="AJ386" s="35">
        <f t="shared" si="13"/>
        <v>0</v>
      </c>
      <c r="AK386" s="35">
        <f t="shared" si="14"/>
        <v>0</v>
      </c>
      <c r="AL386" s="35">
        <f t="shared" si="15"/>
        <v>0</v>
      </c>
      <c r="AN386" s="35">
        <v>21</v>
      </c>
      <c r="AO386" s="35">
        <f t="shared" si="16"/>
        <v>0</v>
      </c>
      <c r="AP386" s="35">
        <f t="shared" si="17"/>
        <v>0</v>
      </c>
      <c r="AQ386" s="36" t="s">
        <v>410</v>
      </c>
      <c r="AV386" s="35">
        <f t="shared" si="18"/>
        <v>0</v>
      </c>
      <c r="AW386" s="35">
        <f t="shared" si="19"/>
        <v>0</v>
      </c>
      <c r="AX386" s="35">
        <f t="shared" si="20"/>
        <v>0</v>
      </c>
      <c r="AY386" s="36" t="s">
        <v>709</v>
      </c>
      <c r="AZ386" s="36" t="s">
        <v>710</v>
      </c>
      <c r="BA386" s="12" t="s">
        <v>711</v>
      </c>
      <c r="BC386" s="35">
        <f t="shared" si="21"/>
        <v>0</v>
      </c>
      <c r="BD386" s="35">
        <f t="shared" si="22"/>
        <v>0</v>
      </c>
      <c r="BE386" s="35">
        <v>0</v>
      </c>
      <c r="BF386" s="35">
        <f t="shared" si="23"/>
        <v>0</v>
      </c>
      <c r="BH386" s="35">
        <f t="shared" si="24"/>
        <v>0</v>
      </c>
      <c r="BI386" s="35">
        <f t="shared" si="25"/>
        <v>0</v>
      </c>
      <c r="BJ386" s="35">
        <f t="shared" si="26"/>
        <v>0</v>
      </c>
      <c r="BK386" s="35"/>
      <c r="BL386" s="35"/>
      <c r="BO386" s="35">
        <f t="shared" si="27"/>
        <v>0</v>
      </c>
      <c r="BW386" s="35" t="str">
        <f t="shared" si="28"/>
        <v>21</v>
      </c>
      <c r="BX386" s="4" t="s">
        <v>717</v>
      </c>
    </row>
    <row r="387" spans="1:76" ht="25.5" x14ac:dyDescent="0.25">
      <c r="A387" s="2" t="s">
        <v>718</v>
      </c>
      <c r="B387" s="3" t="s">
        <v>702</v>
      </c>
      <c r="C387" s="3" t="s">
        <v>719</v>
      </c>
      <c r="D387" s="106" t="s">
        <v>720</v>
      </c>
      <c r="E387" s="107"/>
      <c r="F387" s="3" t="s">
        <v>409</v>
      </c>
      <c r="G387" s="35">
        <v>1</v>
      </c>
      <c r="H387" s="35"/>
      <c r="I387" s="36" t="s">
        <v>63</v>
      </c>
      <c r="J387" s="35">
        <f t="shared" si="0"/>
        <v>0</v>
      </c>
      <c r="K387" s="35">
        <f t="shared" si="1"/>
        <v>0</v>
      </c>
      <c r="L387" s="35">
        <f t="shared" si="2"/>
        <v>0</v>
      </c>
      <c r="M387" s="35">
        <f t="shared" si="3"/>
        <v>0</v>
      </c>
      <c r="N387" s="35">
        <v>0</v>
      </c>
      <c r="O387" s="35">
        <f t="shared" si="4"/>
        <v>0</v>
      </c>
      <c r="P387" s="37" t="s">
        <v>54</v>
      </c>
      <c r="Z387" s="35">
        <f t="shared" si="5"/>
        <v>0</v>
      </c>
      <c r="AB387" s="35">
        <f t="shared" si="6"/>
        <v>0</v>
      </c>
      <c r="AC387" s="35">
        <f t="shared" si="7"/>
        <v>0</v>
      </c>
      <c r="AD387" s="35">
        <f t="shared" si="8"/>
        <v>0</v>
      </c>
      <c r="AE387" s="35">
        <f t="shared" si="9"/>
        <v>0</v>
      </c>
      <c r="AF387" s="35">
        <f t="shared" si="10"/>
        <v>0</v>
      </c>
      <c r="AG387" s="35">
        <f t="shared" si="11"/>
        <v>0</v>
      </c>
      <c r="AH387" s="35">
        <f t="shared" si="12"/>
        <v>0</v>
      </c>
      <c r="AI387" s="12" t="s">
        <v>702</v>
      </c>
      <c r="AJ387" s="35">
        <f t="shared" si="13"/>
        <v>0</v>
      </c>
      <c r="AK387" s="35">
        <f t="shared" si="14"/>
        <v>0</v>
      </c>
      <c r="AL387" s="35">
        <f t="shared" si="15"/>
        <v>0</v>
      </c>
      <c r="AN387" s="35">
        <v>21</v>
      </c>
      <c r="AO387" s="35">
        <f t="shared" si="16"/>
        <v>0</v>
      </c>
      <c r="AP387" s="35">
        <f t="shared" si="17"/>
        <v>0</v>
      </c>
      <c r="AQ387" s="36" t="s">
        <v>410</v>
      </c>
      <c r="AV387" s="35">
        <f t="shared" si="18"/>
        <v>0</v>
      </c>
      <c r="AW387" s="35">
        <f t="shared" si="19"/>
        <v>0</v>
      </c>
      <c r="AX387" s="35">
        <f t="shared" si="20"/>
        <v>0</v>
      </c>
      <c r="AY387" s="36" t="s">
        <v>709</v>
      </c>
      <c r="AZ387" s="36" t="s">
        <v>710</v>
      </c>
      <c r="BA387" s="12" t="s">
        <v>711</v>
      </c>
      <c r="BC387" s="35">
        <f t="shared" si="21"/>
        <v>0</v>
      </c>
      <c r="BD387" s="35">
        <f t="shared" si="22"/>
        <v>0</v>
      </c>
      <c r="BE387" s="35">
        <v>0</v>
      </c>
      <c r="BF387" s="35">
        <f t="shared" si="23"/>
        <v>0</v>
      </c>
      <c r="BH387" s="35">
        <f t="shared" si="24"/>
        <v>0</v>
      </c>
      <c r="BI387" s="35">
        <f t="shared" si="25"/>
        <v>0</v>
      </c>
      <c r="BJ387" s="35">
        <f t="shared" si="26"/>
        <v>0</v>
      </c>
      <c r="BK387" s="35"/>
      <c r="BL387" s="35"/>
      <c r="BO387" s="35">
        <f t="shared" si="27"/>
        <v>0</v>
      </c>
      <c r="BW387" s="35" t="str">
        <f t="shared" si="28"/>
        <v>21</v>
      </c>
      <c r="BX387" s="4" t="s">
        <v>720</v>
      </c>
    </row>
    <row r="388" spans="1:76" x14ac:dyDescent="0.25">
      <c r="A388" s="2" t="s">
        <v>721</v>
      </c>
      <c r="B388" s="3" t="s">
        <v>702</v>
      </c>
      <c r="C388" s="3" t="s">
        <v>722</v>
      </c>
      <c r="D388" s="106" t="s">
        <v>723</v>
      </c>
      <c r="E388" s="107"/>
      <c r="F388" s="3" t="s">
        <v>409</v>
      </c>
      <c r="G388" s="35">
        <v>1</v>
      </c>
      <c r="H388" s="35"/>
      <c r="I388" s="36" t="s">
        <v>63</v>
      </c>
      <c r="J388" s="35">
        <f t="shared" si="0"/>
        <v>0</v>
      </c>
      <c r="K388" s="35">
        <f t="shared" si="1"/>
        <v>0</v>
      </c>
      <c r="L388" s="35">
        <f t="shared" si="2"/>
        <v>0</v>
      </c>
      <c r="M388" s="35">
        <f t="shared" si="3"/>
        <v>0</v>
      </c>
      <c r="N388" s="35">
        <v>0</v>
      </c>
      <c r="O388" s="35">
        <f t="shared" si="4"/>
        <v>0</v>
      </c>
      <c r="P388" s="37" t="s">
        <v>54</v>
      </c>
      <c r="Z388" s="35">
        <f t="shared" si="5"/>
        <v>0</v>
      </c>
      <c r="AB388" s="35">
        <f t="shared" si="6"/>
        <v>0</v>
      </c>
      <c r="AC388" s="35">
        <f t="shared" si="7"/>
        <v>0</v>
      </c>
      <c r="AD388" s="35">
        <f t="shared" si="8"/>
        <v>0</v>
      </c>
      <c r="AE388" s="35">
        <f t="shared" si="9"/>
        <v>0</v>
      </c>
      <c r="AF388" s="35">
        <f t="shared" si="10"/>
        <v>0</v>
      </c>
      <c r="AG388" s="35">
        <f t="shared" si="11"/>
        <v>0</v>
      </c>
      <c r="AH388" s="35">
        <f t="shared" si="12"/>
        <v>0</v>
      </c>
      <c r="AI388" s="12" t="s">
        <v>702</v>
      </c>
      <c r="AJ388" s="35">
        <f t="shared" si="13"/>
        <v>0</v>
      </c>
      <c r="AK388" s="35">
        <f t="shared" si="14"/>
        <v>0</v>
      </c>
      <c r="AL388" s="35">
        <f t="shared" si="15"/>
        <v>0</v>
      </c>
      <c r="AN388" s="35">
        <v>21</v>
      </c>
      <c r="AO388" s="35">
        <f t="shared" si="16"/>
        <v>0</v>
      </c>
      <c r="AP388" s="35">
        <f t="shared" si="17"/>
        <v>0</v>
      </c>
      <c r="AQ388" s="36" t="s">
        <v>410</v>
      </c>
      <c r="AV388" s="35">
        <f t="shared" si="18"/>
        <v>0</v>
      </c>
      <c r="AW388" s="35">
        <f t="shared" si="19"/>
        <v>0</v>
      </c>
      <c r="AX388" s="35">
        <f t="shared" si="20"/>
        <v>0</v>
      </c>
      <c r="AY388" s="36" t="s">
        <v>709</v>
      </c>
      <c r="AZ388" s="36" t="s">
        <v>710</v>
      </c>
      <c r="BA388" s="12" t="s">
        <v>711</v>
      </c>
      <c r="BC388" s="35">
        <f t="shared" si="21"/>
        <v>0</v>
      </c>
      <c r="BD388" s="35">
        <f t="shared" si="22"/>
        <v>0</v>
      </c>
      <c r="BE388" s="35">
        <v>0</v>
      </c>
      <c r="BF388" s="35">
        <f t="shared" si="23"/>
        <v>0</v>
      </c>
      <c r="BH388" s="35">
        <f t="shared" si="24"/>
        <v>0</v>
      </c>
      <c r="BI388" s="35">
        <f t="shared" si="25"/>
        <v>0</v>
      </c>
      <c r="BJ388" s="35">
        <f t="shared" si="26"/>
        <v>0</v>
      </c>
      <c r="BK388" s="35"/>
      <c r="BL388" s="35"/>
      <c r="BO388" s="35">
        <f t="shared" si="27"/>
        <v>0</v>
      </c>
      <c r="BW388" s="35" t="str">
        <f t="shared" si="28"/>
        <v>21</v>
      </c>
      <c r="BX388" s="4" t="s">
        <v>723</v>
      </c>
    </row>
    <row r="389" spans="1:76" ht="25.5" x14ac:dyDescent="0.25">
      <c r="A389" s="2" t="s">
        <v>724</v>
      </c>
      <c r="B389" s="3" t="s">
        <v>702</v>
      </c>
      <c r="C389" s="3" t="s">
        <v>725</v>
      </c>
      <c r="D389" s="106" t="s">
        <v>726</v>
      </c>
      <c r="E389" s="107"/>
      <c r="F389" s="3" t="s">
        <v>409</v>
      </c>
      <c r="G389" s="35">
        <v>1</v>
      </c>
      <c r="H389" s="35"/>
      <c r="I389" s="36" t="s">
        <v>63</v>
      </c>
      <c r="J389" s="35">
        <f t="shared" si="0"/>
        <v>0</v>
      </c>
      <c r="K389" s="35">
        <f t="shared" si="1"/>
        <v>0</v>
      </c>
      <c r="L389" s="35">
        <f t="shared" si="2"/>
        <v>0</v>
      </c>
      <c r="M389" s="35">
        <f t="shared" si="3"/>
        <v>0</v>
      </c>
      <c r="N389" s="35">
        <v>0</v>
      </c>
      <c r="O389" s="35">
        <f t="shared" si="4"/>
        <v>0</v>
      </c>
      <c r="P389" s="37" t="s">
        <v>54</v>
      </c>
      <c r="Z389" s="35">
        <f t="shared" si="5"/>
        <v>0</v>
      </c>
      <c r="AB389" s="35">
        <f t="shared" si="6"/>
        <v>0</v>
      </c>
      <c r="AC389" s="35">
        <f t="shared" si="7"/>
        <v>0</v>
      </c>
      <c r="AD389" s="35">
        <f t="shared" si="8"/>
        <v>0</v>
      </c>
      <c r="AE389" s="35">
        <f t="shared" si="9"/>
        <v>0</v>
      </c>
      <c r="AF389" s="35">
        <f t="shared" si="10"/>
        <v>0</v>
      </c>
      <c r="AG389" s="35">
        <f t="shared" si="11"/>
        <v>0</v>
      </c>
      <c r="AH389" s="35">
        <f t="shared" si="12"/>
        <v>0</v>
      </c>
      <c r="AI389" s="12" t="s">
        <v>702</v>
      </c>
      <c r="AJ389" s="35">
        <f t="shared" si="13"/>
        <v>0</v>
      </c>
      <c r="AK389" s="35">
        <f t="shared" si="14"/>
        <v>0</v>
      </c>
      <c r="AL389" s="35">
        <f t="shared" si="15"/>
        <v>0</v>
      </c>
      <c r="AN389" s="35">
        <v>21</v>
      </c>
      <c r="AO389" s="35">
        <f t="shared" si="16"/>
        <v>0</v>
      </c>
      <c r="AP389" s="35">
        <f t="shared" si="17"/>
        <v>0</v>
      </c>
      <c r="AQ389" s="36" t="s">
        <v>410</v>
      </c>
      <c r="AV389" s="35">
        <f t="shared" si="18"/>
        <v>0</v>
      </c>
      <c r="AW389" s="35">
        <f t="shared" si="19"/>
        <v>0</v>
      </c>
      <c r="AX389" s="35">
        <f t="shared" si="20"/>
        <v>0</v>
      </c>
      <c r="AY389" s="36" t="s">
        <v>709</v>
      </c>
      <c r="AZ389" s="36" t="s">
        <v>710</v>
      </c>
      <c r="BA389" s="12" t="s">
        <v>711</v>
      </c>
      <c r="BC389" s="35">
        <f t="shared" si="21"/>
        <v>0</v>
      </c>
      <c r="BD389" s="35">
        <f t="shared" si="22"/>
        <v>0</v>
      </c>
      <c r="BE389" s="35">
        <v>0</v>
      </c>
      <c r="BF389" s="35">
        <f t="shared" si="23"/>
        <v>0</v>
      </c>
      <c r="BH389" s="35">
        <f t="shared" si="24"/>
        <v>0</v>
      </c>
      <c r="BI389" s="35">
        <f t="shared" si="25"/>
        <v>0</v>
      </c>
      <c r="BJ389" s="35">
        <f t="shared" si="26"/>
        <v>0</v>
      </c>
      <c r="BK389" s="35"/>
      <c r="BL389" s="35"/>
      <c r="BO389" s="35">
        <f t="shared" si="27"/>
        <v>0</v>
      </c>
      <c r="BW389" s="35" t="str">
        <f t="shared" si="28"/>
        <v>21</v>
      </c>
      <c r="BX389" s="4" t="s">
        <v>726</v>
      </c>
    </row>
    <row r="390" spans="1:76" ht="25.5" x14ac:dyDescent="0.25">
      <c r="A390" s="2" t="s">
        <v>727</v>
      </c>
      <c r="B390" s="3" t="s">
        <v>702</v>
      </c>
      <c r="C390" s="3" t="s">
        <v>728</v>
      </c>
      <c r="D390" s="106" t="s">
        <v>729</v>
      </c>
      <c r="E390" s="107"/>
      <c r="F390" s="3" t="s">
        <v>409</v>
      </c>
      <c r="G390" s="35">
        <v>1</v>
      </c>
      <c r="H390" s="35"/>
      <c r="I390" s="36" t="s">
        <v>63</v>
      </c>
      <c r="J390" s="35">
        <f t="shared" si="0"/>
        <v>0</v>
      </c>
      <c r="K390" s="35">
        <f t="shared" si="1"/>
        <v>0</v>
      </c>
      <c r="L390" s="35">
        <f t="shared" si="2"/>
        <v>0</v>
      </c>
      <c r="M390" s="35">
        <f t="shared" si="3"/>
        <v>0</v>
      </c>
      <c r="N390" s="35">
        <v>0</v>
      </c>
      <c r="O390" s="35">
        <f t="shared" si="4"/>
        <v>0</v>
      </c>
      <c r="P390" s="37" t="s">
        <v>54</v>
      </c>
      <c r="Z390" s="35">
        <f t="shared" si="5"/>
        <v>0</v>
      </c>
      <c r="AB390" s="35">
        <f t="shared" si="6"/>
        <v>0</v>
      </c>
      <c r="AC390" s="35">
        <f t="shared" si="7"/>
        <v>0</v>
      </c>
      <c r="AD390" s="35">
        <f t="shared" si="8"/>
        <v>0</v>
      </c>
      <c r="AE390" s="35">
        <f t="shared" si="9"/>
        <v>0</v>
      </c>
      <c r="AF390" s="35">
        <f t="shared" si="10"/>
        <v>0</v>
      </c>
      <c r="AG390" s="35">
        <f t="shared" si="11"/>
        <v>0</v>
      </c>
      <c r="AH390" s="35">
        <f t="shared" si="12"/>
        <v>0</v>
      </c>
      <c r="AI390" s="12" t="s">
        <v>702</v>
      </c>
      <c r="AJ390" s="35">
        <f t="shared" si="13"/>
        <v>0</v>
      </c>
      <c r="AK390" s="35">
        <f t="shared" si="14"/>
        <v>0</v>
      </c>
      <c r="AL390" s="35">
        <f t="shared" si="15"/>
        <v>0</v>
      </c>
      <c r="AN390" s="35">
        <v>21</v>
      </c>
      <c r="AO390" s="35">
        <f t="shared" si="16"/>
        <v>0</v>
      </c>
      <c r="AP390" s="35">
        <f t="shared" si="17"/>
        <v>0</v>
      </c>
      <c r="AQ390" s="36" t="s">
        <v>410</v>
      </c>
      <c r="AV390" s="35">
        <f t="shared" si="18"/>
        <v>0</v>
      </c>
      <c r="AW390" s="35">
        <f t="shared" si="19"/>
        <v>0</v>
      </c>
      <c r="AX390" s="35">
        <f t="shared" si="20"/>
        <v>0</v>
      </c>
      <c r="AY390" s="36" t="s">
        <v>709</v>
      </c>
      <c r="AZ390" s="36" t="s">
        <v>710</v>
      </c>
      <c r="BA390" s="12" t="s">
        <v>711</v>
      </c>
      <c r="BC390" s="35">
        <f t="shared" si="21"/>
        <v>0</v>
      </c>
      <c r="BD390" s="35">
        <f t="shared" si="22"/>
        <v>0</v>
      </c>
      <c r="BE390" s="35">
        <v>0</v>
      </c>
      <c r="BF390" s="35">
        <f t="shared" si="23"/>
        <v>0</v>
      </c>
      <c r="BH390" s="35">
        <f t="shared" si="24"/>
        <v>0</v>
      </c>
      <c r="BI390" s="35">
        <f t="shared" si="25"/>
        <v>0</v>
      </c>
      <c r="BJ390" s="35">
        <f t="shared" si="26"/>
        <v>0</v>
      </c>
      <c r="BK390" s="35"/>
      <c r="BL390" s="35"/>
      <c r="BO390" s="35">
        <f t="shared" si="27"/>
        <v>0</v>
      </c>
      <c r="BW390" s="35" t="str">
        <f t="shared" si="28"/>
        <v>21</v>
      </c>
      <c r="BX390" s="4" t="s">
        <v>729</v>
      </c>
    </row>
    <row r="391" spans="1:76" x14ac:dyDescent="0.25">
      <c r="A391" s="2" t="s">
        <v>730</v>
      </c>
      <c r="B391" s="3" t="s">
        <v>702</v>
      </c>
      <c r="C391" s="3" t="s">
        <v>731</v>
      </c>
      <c r="D391" s="106" t="s">
        <v>732</v>
      </c>
      <c r="E391" s="107"/>
      <c r="F391" s="3" t="s">
        <v>409</v>
      </c>
      <c r="G391" s="35">
        <v>1</v>
      </c>
      <c r="H391" s="35"/>
      <c r="I391" s="36" t="s">
        <v>63</v>
      </c>
      <c r="J391" s="35">
        <f t="shared" si="0"/>
        <v>0</v>
      </c>
      <c r="K391" s="35">
        <f t="shared" si="1"/>
        <v>0</v>
      </c>
      <c r="L391" s="35">
        <f t="shared" si="2"/>
        <v>0</v>
      </c>
      <c r="M391" s="35">
        <f t="shared" si="3"/>
        <v>0</v>
      </c>
      <c r="N391" s="35">
        <v>0</v>
      </c>
      <c r="O391" s="35">
        <f t="shared" si="4"/>
        <v>0</v>
      </c>
      <c r="P391" s="37" t="s">
        <v>54</v>
      </c>
      <c r="Z391" s="35">
        <f t="shared" si="5"/>
        <v>0</v>
      </c>
      <c r="AB391" s="35">
        <f t="shared" si="6"/>
        <v>0</v>
      </c>
      <c r="AC391" s="35">
        <f t="shared" si="7"/>
        <v>0</v>
      </c>
      <c r="AD391" s="35">
        <f t="shared" si="8"/>
        <v>0</v>
      </c>
      <c r="AE391" s="35">
        <f t="shared" si="9"/>
        <v>0</v>
      </c>
      <c r="AF391" s="35">
        <f t="shared" si="10"/>
        <v>0</v>
      </c>
      <c r="AG391" s="35">
        <f t="shared" si="11"/>
        <v>0</v>
      </c>
      <c r="AH391" s="35">
        <f t="shared" si="12"/>
        <v>0</v>
      </c>
      <c r="AI391" s="12" t="s">
        <v>702</v>
      </c>
      <c r="AJ391" s="35">
        <f t="shared" si="13"/>
        <v>0</v>
      </c>
      <c r="AK391" s="35">
        <f t="shared" si="14"/>
        <v>0</v>
      </c>
      <c r="AL391" s="35">
        <f t="shared" si="15"/>
        <v>0</v>
      </c>
      <c r="AN391" s="35">
        <v>21</v>
      </c>
      <c r="AO391" s="35">
        <f t="shared" si="16"/>
        <v>0</v>
      </c>
      <c r="AP391" s="35">
        <f t="shared" si="17"/>
        <v>0</v>
      </c>
      <c r="AQ391" s="36" t="s">
        <v>410</v>
      </c>
      <c r="AV391" s="35">
        <f t="shared" si="18"/>
        <v>0</v>
      </c>
      <c r="AW391" s="35">
        <f t="shared" si="19"/>
        <v>0</v>
      </c>
      <c r="AX391" s="35">
        <f t="shared" si="20"/>
        <v>0</v>
      </c>
      <c r="AY391" s="36" t="s">
        <v>709</v>
      </c>
      <c r="AZ391" s="36" t="s">
        <v>710</v>
      </c>
      <c r="BA391" s="12" t="s">
        <v>711</v>
      </c>
      <c r="BC391" s="35">
        <f t="shared" si="21"/>
        <v>0</v>
      </c>
      <c r="BD391" s="35">
        <f t="shared" si="22"/>
        <v>0</v>
      </c>
      <c r="BE391" s="35">
        <v>0</v>
      </c>
      <c r="BF391" s="35">
        <f t="shared" si="23"/>
        <v>0</v>
      </c>
      <c r="BH391" s="35">
        <f t="shared" si="24"/>
        <v>0</v>
      </c>
      <c r="BI391" s="35">
        <f t="shared" si="25"/>
        <v>0</v>
      </c>
      <c r="BJ391" s="35">
        <f t="shared" si="26"/>
        <v>0</v>
      </c>
      <c r="BK391" s="35"/>
      <c r="BL391" s="35"/>
      <c r="BO391" s="35">
        <f t="shared" si="27"/>
        <v>0</v>
      </c>
      <c r="BW391" s="35" t="str">
        <f t="shared" si="28"/>
        <v>21</v>
      </c>
      <c r="BX391" s="4" t="s">
        <v>732</v>
      </c>
    </row>
    <row r="392" spans="1:76" x14ac:dyDescent="0.25">
      <c r="A392" s="2" t="s">
        <v>733</v>
      </c>
      <c r="B392" s="3" t="s">
        <v>702</v>
      </c>
      <c r="C392" s="3" t="s">
        <v>734</v>
      </c>
      <c r="D392" s="106" t="s">
        <v>735</v>
      </c>
      <c r="E392" s="107"/>
      <c r="F392" s="3" t="s">
        <v>409</v>
      </c>
      <c r="G392" s="35">
        <v>1</v>
      </c>
      <c r="H392" s="35"/>
      <c r="I392" s="36" t="s">
        <v>63</v>
      </c>
      <c r="J392" s="35">
        <f t="shared" si="0"/>
        <v>0</v>
      </c>
      <c r="K392" s="35">
        <f t="shared" si="1"/>
        <v>0</v>
      </c>
      <c r="L392" s="35">
        <f t="shared" si="2"/>
        <v>0</v>
      </c>
      <c r="M392" s="35">
        <f t="shared" si="3"/>
        <v>0</v>
      </c>
      <c r="N392" s="35">
        <v>0</v>
      </c>
      <c r="O392" s="35">
        <f t="shared" si="4"/>
        <v>0</v>
      </c>
      <c r="P392" s="37" t="s">
        <v>54</v>
      </c>
      <c r="Z392" s="35">
        <f t="shared" si="5"/>
        <v>0</v>
      </c>
      <c r="AB392" s="35">
        <f t="shared" si="6"/>
        <v>0</v>
      </c>
      <c r="AC392" s="35">
        <f t="shared" si="7"/>
        <v>0</v>
      </c>
      <c r="AD392" s="35">
        <f t="shared" si="8"/>
        <v>0</v>
      </c>
      <c r="AE392" s="35">
        <f t="shared" si="9"/>
        <v>0</v>
      </c>
      <c r="AF392" s="35">
        <f t="shared" si="10"/>
        <v>0</v>
      </c>
      <c r="AG392" s="35">
        <f t="shared" si="11"/>
        <v>0</v>
      </c>
      <c r="AH392" s="35">
        <f t="shared" si="12"/>
        <v>0</v>
      </c>
      <c r="AI392" s="12" t="s">
        <v>702</v>
      </c>
      <c r="AJ392" s="35">
        <f t="shared" si="13"/>
        <v>0</v>
      </c>
      <c r="AK392" s="35">
        <f t="shared" si="14"/>
        <v>0</v>
      </c>
      <c r="AL392" s="35">
        <f t="shared" si="15"/>
        <v>0</v>
      </c>
      <c r="AN392" s="35">
        <v>21</v>
      </c>
      <c r="AO392" s="35">
        <f t="shared" si="16"/>
        <v>0</v>
      </c>
      <c r="AP392" s="35">
        <f t="shared" si="17"/>
        <v>0</v>
      </c>
      <c r="AQ392" s="36" t="s">
        <v>410</v>
      </c>
      <c r="AV392" s="35">
        <f t="shared" si="18"/>
        <v>0</v>
      </c>
      <c r="AW392" s="35">
        <f t="shared" si="19"/>
        <v>0</v>
      </c>
      <c r="AX392" s="35">
        <f t="shared" si="20"/>
        <v>0</v>
      </c>
      <c r="AY392" s="36" t="s">
        <v>709</v>
      </c>
      <c r="AZ392" s="36" t="s">
        <v>710</v>
      </c>
      <c r="BA392" s="12" t="s">
        <v>711</v>
      </c>
      <c r="BC392" s="35">
        <f t="shared" si="21"/>
        <v>0</v>
      </c>
      <c r="BD392" s="35">
        <f t="shared" si="22"/>
        <v>0</v>
      </c>
      <c r="BE392" s="35">
        <v>0</v>
      </c>
      <c r="BF392" s="35">
        <f t="shared" si="23"/>
        <v>0</v>
      </c>
      <c r="BH392" s="35">
        <f t="shared" si="24"/>
        <v>0</v>
      </c>
      <c r="BI392" s="35">
        <f t="shared" si="25"/>
        <v>0</v>
      </c>
      <c r="BJ392" s="35">
        <f t="shared" si="26"/>
        <v>0</v>
      </c>
      <c r="BK392" s="35"/>
      <c r="BL392" s="35"/>
      <c r="BO392" s="35">
        <f t="shared" si="27"/>
        <v>0</v>
      </c>
      <c r="BW392" s="35" t="str">
        <f t="shared" si="28"/>
        <v>21</v>
      </c>
      <c r="BX392" s="4" t="s">
        <v>735</v>
      </c>
    </row>
    <row r="393" spans="1:76" x14ac:dyDescent="0.25">
      <c r="A393" s="2" t="s">
        <v>736</v>
      </c>
      <c r="B393" s="3" t="s">
        <v>702</v>
      </c>
      <c r="C393" s="3" t="s">
        <v>737</v>
      </c>
      <c r="D393" s="106" t="s">
        <v>738</v>
      </c>
      <c r="E393" s="107"/>
      <c r="F393" s="3" t="s">
        <v>409</v>
      </c>
      <c r="G393" s="35">
        <v>1</v>
      </c>
      <c r="H393" s="35"/>
      <c r="I393" s="36" t="s">
        <v>63</v>
      </c>
      <c r="J393" s="35">
        <f t="shared" si="0"/>
        <v>0</v>
      </c>
      <c r="K393" s="35">
        <f t="shared" si="1"/>
        <v>0</v>
      </c>
      <c r="L393" s="35">
        <f t="shared" si="2"/>
        <v>0</v>
      </c>
      <c r="M393" s="35">
        <f t="shared" si="3"/>
        <v>0</v>
      </c>
      <c r="N393" s="35">
        <v>0</v>
      </c>
      <c r="O393" s="35">
        <f t="shared" si="4"/>
        <v>0</v>
      </c>
      <c r="P393" s="37" t="s">
        <v>54</v>
      </c>
      <c r="Z393" s="35">
        <f t="shared" si="5"/>
        <v>0</v>
      </c>
      <c r="AB393" s="35">
        <f t="shared" si="6"/>
        <v>0</v>
      </c>
      <c r="AC393" s="35">
        <f t="shared" si="7"/>
        <v>0</v>
      </c>
      <c r="AD393" s="35">
        <f t="shared" si="8"/>
        <v>0</v>
      </c>
      <c r="AE393" s="35">
        <f t="shared" si="9"/>
        <v>0</v>
      </c>
      <c r="AF393" s="35">
        <f t="shared" si="10"/>
        <v>0</v>
      </c>
      <c r="AG393" s="35">
        <f t="shared" si="11"/>
        <v>0</v>
      </c>
      <c r="AH393" s="35">
        <f t="shared" si="12"/>
        <v>0</v>
      </c>
      <c r="AI393" s="12" t="s">
        <v>702</v>
      </c>
      <c r="AJ393" s="35">
        <f t="shared" si="13"/>
        <v>0</v>
      </c>
      <c r="AK393" s="35">
        <f t="shared" si="14"/>
        <v>0</v>
      </c>
      <c r="AL393" s="35">
        <f t="shared" si="15"/>
        <v>0</v>
      </c>
      <c r="AN393" s="35">
        <v>21</v>
      </c>
      <c r="AO393" s="35">
        <f t="shared" si="16"/>
        <v>0</v>
      </c>
      <c r="AP393" s="35">
        <f t="shared" si="17"/>
        <v>0</v>
      </c>
      <c r="AQ393" s="36" t="s">
        <v>410</v>
      </c>
      <c r="AV393" s="35">
        <f t="shared" si="18"/>
        <v>0</v>
      </c>
      <c r="AW393" s="35">
        <f t="shared" si="19"/>
        <v>0</v>
      </c>
      <c r="AX393" s="35">
        <f t="shared" si="20"/>
        <v>0</v>
      </c>
      <c r="AY393" s="36" t="s">
        <v>709</v>
      </c>
      <c r="AZ393" s="36" t="s">
        <v>710</v>
      </c>
      <c r="BA393" s="12" t="s">
        <v>711</v>
      </c>
      <c r="BC393" s="35">
        <f t="shared" si="21"/>
        <v>0</v>
      </c>
      <c r="BD393" s="35">
        <f t="shared" si="22"/>
        <v>0</v>
      </c>
      <c r="BE393" s="35">
        <v>0</v>
      </c>
      <c r="BF393" s="35">
        <f t="shared" si="23"/>
        <v>0</v>
      </c>
      <c r="BH393" s="35">
        <f t="shared" si="24"/>
        <v>0</v>
      </c>
      <c r="BI393" s="35">
        <f t="shared" si="25"/>
        <v>0</v>
      </c>
      <c r="BJ393" s="35">
        <f t="shared" si="26"/>
        <v>0</v>
      </c>
      <c r="BK393" s="35"/>
      <c r="BL393" s="35"/>
      <c r="BO393" s="35">
        <f t="shared" si="27"/>
        <v>0</v>
      </c>
      <c r="BW393" s="35" t="str">
        <f t="shared" si="28"/>
        <v>21</v>
      </c>
      <c r="BX393" s="4" t="s">
        <v>738</v>
      </c>
    </row>
    <row r="394" spans="1:76" x14ac:dyDescent="0.25">
      <c r="A394" s="2" t="s">
        <v>739</v>
      </c>
      <c r="B394" s="3" t="s">
        <v>702</v>
      </c>
      <c r="C394" s="3" t="s">
        <v>740</v>
      </c>
      <c r="D394" s="106" t="s">
        <v>741</v>
      </c>
      <c r="E394" s="107"/>
      <c r="F394" s="3" t="s">
        <v>409</v>
      </c>
      <c r="G394" s="35">
        <v>1</v>
      </c>
      <c r="H394" s="35"/>
      <c r="I394" s="36" t="s">
        <v>63</v>
      </c>
      <c r="J394" s="35">
        <f t="shared" si="0"/>
        <v>0</v>
      </c>
      <c r="K394" s="35">
        <f t="shared" si="1"/>
        <v>0</v>
      </c>
      <c r="L394" s="35">
        <f t="shared" si="2"/>
        <v>0</v>
      </c>
      <c r="M394" s="35">
        <f t="shared" si="3"/>
        <v>0</v>
      </c>
      <c r="N394" s="35">
        <v>0</v>
      </c>
      <c r="O394" s="35">
        <f t="shared" si="4"/>
        <v>0</v>
      </c>
      <c r="P394" s="37" t="s">
        <v>54</v>
      </c>
      <c r="Z394" s="35">
        <f t="shared" si="5"/>
        <v>0</v>
      </c>
      <c r="AB394" s="35">
        <f t="shared" si="6"/>
        <v>0</v>
      </c>
      <c r="AC394" s="35">
        <f t="shared" si="7"/>
        <v>0</v>
      </c>
      <c r="AD394" s="35">
        <f t="shared" si="8"/>
        <v>0</v>
      </c>
      <c r="AE394" s="35">
        <f t="shared" si="9"/>
        <v>0</v>
      </c>
      <c r="AF394" s="35">
        <f t="shared" si="10"/>
        <v>0</v>
      </c>
      <c r="AG394" s="35">
        <f t="shared" si="11"/>
        <v>0</v>
      </c>
      <c r="AH394" s="35">
        <f t="shared" si="12"/>
        <v>0</v>
      </c>
      <c r="AI394" s="12" t="s">
        <v>702</v>
      </c>
      <c r="AJ394" s="35">
        <f t="shared" si="13"/>
        <v>0</v>
      </c>
      <c r="AK394" s="35">
        <f t="shared" si="14"/>
        <v>0</v>
      </c>
      <c r="AL394" s="35">
        <f t="shared" si="15"/>
        <v>0</v>
      </c>
      <c r="AN394" s="35">
        <v>21</v>
      </c>
      <c r="AO394" s="35">
        <f t="shared" si="16"/>
        <v>0</v>
      </c>
      <c r="AP394" s="35">
        <f t="shared" si="17"/>
        <v>0</v>
      </c>
      <c r="AQ394" s="36" t="s">
        <v>410</v>
      </c>
      <c r="AV394" s="35">
        <f t="shared" si="18"/>
        <v>0</v>
      </c>
      <c r="AW394" s="35">
        <f t="shared" si="19"/>
        <v>0</v>
      </c>
      <c r="AX394" s="35">
        <f t="shared" si="20"/>
        <v>0</v>
      </c>
      <c r="AY394" s="36" t="s">
        <v>709</v>
      </c>
      <c r="AZ394" s="36" t="s">
        <v>710</v>
      </c>
      <c r="BA394" s="12" t="s">
        <v>711</v>
      </c>
      <c r="BC394" s="35">
        <f t="shared" si="21"/>
        <v>0</v>
      </c>
      <c r="BD394" s="35">
        <f t="shared" si="22"/>
        <v>0</v>
      </c>
      <c r="BE394" s="35">
        <v>0</v>
      </c>
      <c r="BF394" s="35">
        <f t="shared" si="23"/>
        <v>0</v>
      </c>
      <c r="BH394" s="35">
        <f t="shared" si="24"/>
        <v>0</v>
      </c>
      <c r="BI394" s="35">
        <f t="shared" si="25"/>
        <v>0</v>
      </c>
      <c r="BJ394" s="35">
        <f t="shared" si="26"/>
        <v>0</v>
      </c>
      <c r="BK394" s="35"/>
      <c r="BL394" s="35"/>
      <c r="BO394" s="35">
        <f t="shared" si="27"/>
        <v>0</v>
      </c>
      <c r="BW394" s="35" t="str">
        <f t="shared" si="28"/>
        <v>21</v>
      </c>
      <c r="BX394" s="4" t="s">
        <v>741</v>
      </c>
    </row>
    <row r="395" spans="1:76" x14ac:dyDescent="0.25">
      <c r="A395" s="2" t="s">
        <v>742</v>
      </c>
      <c r="B395" s="3" t="s">
        <v>702</v>
      </c>
      <c r="C395" s="3" t="s">
        <v>743</v>
      </c>
      <c r="D395" s="106" t="s">
        <v>744</v>
      </c>
      <c r="E395" s="107"/>
      <c r="F395" s="3" t="s">
        <v>409</v>
      </c>
      <c r="G395" s="35">
        <v>1</v>
      </c>
      <c r="H395" s="35"/>
      <c r="I395" s="36" t="s">
        <v>63</v>
      </c>
      <c r="J395" s="35">
        <f t="shared" si="0"/>
        <v>0</v>
      </c>
      <c r="K395" s="35">
        <f t="shared" si="1"/>
        <v>0</v>
      </c>
      <c r="L395" s="35">
        <f t="shared" si="2"/>
        <v>0</v>
      </c>
      <c r="M395" s="35">
        <f t="shared" si="3"/>
        <v>0</v>
      </c>
      <c r="N395" s="35">
        <v>0</v>
      </c>
      <c r="O395" s="35">
        <f t="shared" si="4"/>
        <v>0</v>
      </c>
      <c r="P395" s="37" t="s">
        <v>54</v>
      </c>
      <c r="Z395" s="35">
        <f t="shared" si="5"/>
        <v>0</v>
      </c>
      <c r="AB395" s="35">
        <f t="shared" si="6"/>
        <v>0</v>
      </c>
      <c r="AC395" s="35">
        <f t="shared" si="7"/>
        <v>0</v>
      </c>
      <c r="AD395" s="35">
        <f t="shared" si="8"/>
        <v>0</v>
      </c>
      <c r="AE395" s="35">
        <f t="shared" si="9"/>
        <v>0</v>
      </c>
      <c r="AF395" s="35">
        <f t="shared" si="10"/>
        <v>0</v>
      </c>
      <c r="AG395" s="35">
        <f t="shared" si="11"/>
        <v>0</v>
      </c>
      <c r="AH395" s="35">
        <f t="shared" si="12"/>
        <v>0</v>
      </c>
      <c r="AI395" s="12" t="s">
        <v>702</v>
      </c>
      <c r="AJ395" s="35">
        <f t="shared" si="13"/>
        <v>0</v>
      </c>
      <c r="AK395" s="35">
        <f t="shared" si="14"/>
        <v>0</v>
      </c>
      <c r="AL395" s="35">
        <f t="shared" si="15"/>
        <v>0</v>
      </c>
      <c r="AN395" s="35">
        <v>21</v>
      </c>
      <c r="AO395" s="35">
        <f t="shared" si="16"/>
        <v>0</v>
      </c>
      <c r="AP395" s="35">
        <f t="shared" si="17"/>
        <v>0</v>
      </c>
      <c r="AQ395" s="36" t="s">
        <v>410</v>
      </c>
      <c r="AV395" s="35">
        <f t="shared" si="18"/>
        <v>0</v>
      </c>
      <c r="AW395" s="35">
        <f t="shared" si="19"/>
        <v>0</v>
      </c>
      <c r="AX395" s="35">
        <f t="shared" si="20"/>
        <v>0</v>
      </c>
      <c r="AY395" s="36" t="s">
        <v>709</v>
      </c>
      <c r="AZ395" s="36" t="s">
        <v>710</v>
      </c>
      <c r="BA395" s="12" t="s">
        <v>711</v>
      </c>
      <c r="BC395" s="35">
        <f t="shared" si="21"/>
        <v>0</v>
      </c>
      <c r="BD395" s="35">
        <f t="shared" si="22"/>
        <v>0</v>
      </c>
      <c r="BE395" s="35">
        <v>0</v>
      </c>
      <c r="BF395" s="35">
        <f t="shared" si="23"/>
        <v>0</v>
      </c>
      <c r="BH395" s="35">
        <f t="shared" si="24"/>
        <v>0</v>
      </c>
      <c r="BI395" s="35">
        <f t="shared" si="25"/>
        <v>0</v>
      </c>
      <c r="BJ395" s="35">
        <f t="shared" si="26"/>
        <v>0</v>
      </c>
      <c r="BK395" s="35"/>
      <c r="BL395" s="35"/>
      <c r="BO395" s="35">
        <f t="shared" si="27"/>
        <v>0</v>
      </c>
      <c r="BW395" s="35" t="str">
        <f t="shared" si="28"/>
        <v>21</v>
      </c>
      <c r="BX395" s="4" t="s">
        <v>744</v>
      </c>
    </row>
    <row r="396" spans="1:76" x14ac:dyDescent="0.25">
      <c r="A396" s="60" t="s">
        <v>745</v>
      </c>
      <c r="B396" s="61" t="s">
        <v>702</v>
      </c>
      <c r="C396" s="61" t="s">
        <v>746</v>
      </c>
      <c r="D396" s="162" t="s">
        <v>747</v>
      </c>
      <c r="E396" s="143"/>
      <c r="F396" s="61" t="s">
        <v>409</v>
      </c>
      <c r="G396" s="62">
        <v>1</v>
      </c>
      <c r="H396" s="62"/>
      <c r="I396" s="63" t="s">
        <v>63</v>
      </c>
      <c r="J396" s="62">
        <f t="shared" si="0"/>
        <v>0</v>
      </c>
      <c r="K396" s="62">
        <f t="shared" si="1"/>
        <v>0</v>
      </c>
      <c r="L396" s="62">
        <f t="shared" si="2"/>
        <v>0</v>
      </c>
      <c r="M396" s="62">
        <f t="shared" si="3"/>
        <v>0</v>
      </c>
      <c r="N396" s="62">
        <v>0</v>
      </c>
      <c r="O396" s="62">
        <f t="shared" si="4"/>
        <v>0</v>
      </c>
      <c r="P396" s="64" t="s">
        <v>54</v>
      </c>
      <c r="Z396" s="35">
        <f t="shared" si="5"/>
        <v>0</v>
      </c>
      <c r="AB396" s="35">
        <f t="shared" si="6"/>
        <v>0</v>
      </c>
      <c r="AC396" s="35">
        <f t="shared" si="7"/>
        <v>0</v>
      </c>
      <c r="AD396" s="35">
        <f t="shared" si="8"/>
        <v>0</v>
      </c>
      <c r="AE396" s="35">
        <f t="shared" si="9"/>
        <v>0</v>
      </c>
      <c r="AF396" s="35">
        <f t="shared" si="10"/>
        <v>0</v>
      </c>
      <c r="AG396" s="35">
        <f t="shared" si="11"/>
        <v>0</v>
      </c>
      <c r="AH396" s="35">
        <f t="shared" si="12"/>
        <v>0</v>
      </c>
      <c r="AI396" s="12" t="s">
        <v>702</v>
      </c>
      <c r="AJ396" s="35">
        <f t="shared" si="13"/>
        <v>0</v>
      </c>
      <c r="AK396" s="35">
        <f t="shared" si="14"/>
        <v>0</v>
      </c>
      <c r="AL396" s="35">
        <f t="shared" si="15"/>
        <v>0</v>
      </c>
      <c r="AN396" s="35">
        <v>21</v>
      </c>
      <c r="AO396" s="35">
        <f t="shared" si="16"/>
        <v>0</v>
      </c>
      <c r="AP396" s="35">
        <f t="shared" si="17"/>
        <v>0</v>
      </c>
      <c r="AQ396" s="36" t="s">
        <v>410</v>
      </c>
      <c r="AV396" s="35">
        <f t="shared" si="18"/>
        <v>0</v>
      </c>
      <c r="AW396" s="35">
        <f t="shared" si="19"/>
        <v>0</v>
      </c>
      <c r="AX396" s="35">
        <f t="shared" si="20"/>
        <v>0</v>
      </c>
      <c r="AY396" s="36" t="s">
        <v>709</v>
      </c>
      <c r="AZ396" s="36" t="s">
        <v>710</v>
      </c>
      <c r="BA396" s="12" t="s">
        <v>711</v>
      </c>
      <c r="BC396" s="35">
        <f t="shared" si="21"/>
        <v>0</v>
      </c>
      <c r="BD396" s="35">
        <f t="shared" si="22"/>
        <v>0</v>
      </c>
      <c r="BE396" s="35">
        <v>0</v>
      </c>
      <c r="BF396" s="35">
        <f t="shared" si="23"/>
        <v>0</v>
      </c>
      <c r="BH396" s="35">
        <f t="shared" si="24"/>
        <v>0</v>
      </c>
      <c r="BI396" s="35">
        <f t="shared" si="25"/>
        <v>0</v>
      </c>
      <c r="BJ396" s="35">
        <f t="shared" si="26"/>
        <v>0</v>
      </c>
      <c r="BK396" s="35"/>
      <c r="BL396" s="35"/>
      <c r="BO396" s="35">
        <f t="shared" si="27"/>
        <v>0</v>
      </c>
      <c r="BW396" s="35" t="str">
        <f t="shared" si="28"/>
        <v>21</v>
      </c>
      <c r="BX396" s="4" t="s">
        <v>747</v>
      </c>
    </row>
    <row r="397" spans="1:76" x14ac:dyDescent="0.25">
      <c r="J397" s="163" t="s">
        <v>748</v>
      </c>
      <c r="K397" s="163"/>
      <c r="L397" s="66">
        <f>L13+L35+L44+L51+L56+L59+L79+L86+L102+L116+L123+L126+L129+L159+L171+L191+L196+L204+L207+L210+L214+L219+L222+L241+L265+L267+L284+L312+L336+L344+L347+L352+L358+L360+L362+L383</f>
        <v>0</v>
      </c>
      <c r="M397" s="66">
        <f>M13+M35+M44+M51+M56+M59+M79+M86+M102+M116+M123+M126+M129+M159+M171+M191+M196+M204+M207+M210+M214+M219+M222+M241+M265+M267+M284+M312+M336+M344+M347+M352+M358+M360+M362+M383</f>
        <v>0</v>
      </c>
    </row>
    <row r="398" spans="1:76" x14ac:dyDescent="0.25">
      <c r="A398" s="67" t="s">
        <v>749</v>
      </c>
    </row>
    <row r="399" spans="1:76" ht="216" customHeight="1" x14ac:dyDescent="0.25">
      <c r="A399" s="106" t="s">
        <v>750</v>
      </c>
      <c r="B399" s="107"/>
      <c r="C399" s="107"/>
      <c r="D399" s="107"/>
      <c r="E399" s="107"/>
      <c r="F399" s="107"/>
      <c r="G399" s="107"/>
      <c r="H399" s="107"/>
      <c r="I399" s="107"/>
      <c r="J399" s="107"/>
      <c r="K399" s="107"/>
      <c r="L399" s="107"/>
      <c r="M399" s="107"/>
      <c r="N399" s="107"/>
      <c r="O399" s="107"/>
      <c r="P399" s="107"/>
    </row>
  </sheetData>
  <mergeCells count="195">
    <mergeCell ref="J2:P3"/>
    <mergeCell ref="J4:P5"/>
    <mergeCell ref="J6:P7"/>
    <mergeCell ref="J8:P9"/>
    <mergeCell ref="D8:E9"/>
    <mergeCell ref="H2:H3"/>
    <mergeCell ref="H4:H5"/>
    <mergeCell ref="H6:H7"/>
    <mergeCell ref="H8:H9"/>
    <mergeCell ref="D14:E14"/>
    <mergeCell ref="D16:E16"/>
    <mergeCell ref="D18:E18"/>
    <mergeCell ref="A1:P1"/>
    <mergeCell ref="A2:C3"/>
    <mergeCell ref="A4:C5"/>
    <mergeCell ref="A6:C7"/>
    <mergeCell ref="A8:C9"/>
    <mergeCell ref="F2:G3"/>
    <mergeCell ref="F4:G5"/>
    <mergeCell ref="F6:G7"/>
    <mergeCell ref="F8:G9"/>
    <mergeCell ref="I2:I3"/>
    <mergeCell ref="I4:I5"/>
    <mergeCell ref="I6:I7"/>
    <mergeCell ref="I8:I9"/>
    <mergeCell ref="D2:E3"/>
    <mergeCell ref="D4:E5"/>
    <mergeCell ref="D6:E7"/>
    <mergeCell ref="D21:E21"/>
    <mergeCell ref="D24:E24"/>
    <mergeCell ref="D11:E11"/>
    <mergeCell ref="J10:L10"/>
    <mergeCell ref="N10:O10"/>
    <mergeCell ref="D12:E12"/>
    <mergeCell ref="D13:E13"/>
    <mergeCell ref="D40:E40"/>
    <mergeCell ref="D44:E44"/>
    <mergeCell ref="D10:E10"/>
    <mergeCell ref="D45:E45"/>
    <mergeCell ref="D49:E49"/>
    <mergeCell ref="D51:E51"/>
    <mergeCell ref="D27:E27"/>
    <mergeCell ref="D29:E29"/>
    <mergeCell ref="D33:E33"/>
    <mergeCell ref="D35:E35"/>
    <mergeCell ref="D36:E36"/>
    <mergeCell ref="D66:E66"/>
    <mergeCell ref="D72:E72"/>
    <mergeCell ref="D73:E73"/>
    <mergeCell ref="D76:E76"/>
    <mergeCell ref="D78:E78"/>
    <mergeCell ref="D52:E52"/>
    <mergeCell ref="D56:E56"/>
    <mergeCell ref="D57:E57"/>
    <mergeCell ref="D59:E59"/>
    <mergeCell ref="D60:E60"/>
    <mergeCell ref="D89:E89"/>
    <mergeCell ref="D91:E91"/>
    <mergeCell ref="D96:E96"/>
    <mergeCell ref="D98:E98"/>
    <mergeCell ref="D101:E101"/>
    <mergeCell ref="D79:E79"/>
    <mergeCell ref="D80:E80"/>
    <mergeCell ref="D83:E83"/>
    <mergeCell ref="D86:E86"/>
    <mergeCell ref="D87:E87"/>
    <mergeCell ref="D116:E116"/>
    <mergeCell ref="D117:E117"/>
    <mergeCell ref="D119:E119"/>
    <mergeCell ref="D121:E121"/>
    <mergeCell ref="D123:E123"/>
    <mergeCell ref="D102:E102"/>
    <mergeCell ref="D103:E103"/>
    <mergeCell ref="D108:E108"/>
    <mergeCell ref="D111:E111"/>
    <mergeCell ref="D113:E113"/>
    <mergeCell ref="D135:E135"/>
    <mergeCell ref="D140:E140"/>
    <mergeCell ref="D145:E145"/>
    <mergeCell ref="D153:E153"/>
    <mergeCell ref="D156:E156"/>
    <mergeCell ref="D124:E124"/>
    <mergeCell ref="D126:E126"/>
    <mergeCell ref="D127:E127"/>
    <mergeCell ref="D129:E129"/>
    <mergeCell ref="D130:E130"/>
    <mergeCell ref="D172:E172"/>
    <mergeCell ref="D174:E174"/>
    <mergeCell ref="D177:E177"/>
    <mergeCell ref="D179:E179"/>
    <mergeCell ref="D184:E184"/>
    <mergeCell ref="D159:E159"/>
    <mergeCell ref="D160:E160"/>
    <mergeCell ref="D165:E165"/>
    <mergeCell ref="D166:E166"/>
    <mergeCell ref="D171:E171"/>
    <mergeCell ref="D197:E197"/>
    <mergeCell ref="D200:E200"/>
    <mergeCell ref="D204:E204"/>
    <mergeCell ref="D205:E205"/>
    <mergeCell ref="D207:E207"/>
    <mergeCell ref="D186:E186"/>
    <mergeCell ref="D189:E189"/>
    <mergeCell ref="D191:E191"/>
    <mergeCell ref="D192:E192"/>
    <mergeCell ref="D196:E196"/>
    <mergeCell ref="D214:E214"/>
    <mergeCell ref="D215:E215"/>
    <mergeCell ref="D218:E218"/>
    <mergeCell ref="D219:E219"/>
    <mergeCell ref="D220:E220"/>
    <mergeCell ref="D208:E208"/>
    <mergeCell ref="D209:E209"/>
    <mergeCell ref="D210:E210"/>
    <mergeCell ref="D211:E211"/>
    <mergeCell ref="D213:E213"/>
    <mergeCell ref="D236:E236"/>
    <mergeCell ref="D237:E237"/>
    <mergeCell ref="D239:E239"/>
    <mergeCell ref="D241:E241"/>
    <mergeCell ref="D242:E242"/>
    <mergeCell ref="D222:E222"/>
    <mergeCell ref="D223:E223"/>
    <mergeCell ref="D226:E226"/>
    <mergeCell ref="D230:E230"/>
    <mergeCell ref="D232:E232"/>
    <mergeCell ref="D271:E271"/>
    <mergeCell ref="D273:E273"/>
    <mergeCell ref="D275:E275"/>
    <mergeCell ref="D276:E276"/>
    <mergeCell ref="D278:E278"/>
    <mergeCell ref="D265:E265"/>
    <mergeCell ref="D266:E266"/>
    <mergeCell ref="D267:E267"/>
    <mergeCell ref="D268:E268"/>
    <mergeCell ref="D270:E270"/>
    <mergeCell ref="D302:E302"/>
    <mergeCell ref="D304:E304"/>
    <mergeCell ref="D306:E306"/>
    <mergeCell ref="D309:E309"/>
    <mergeCell ref="D310:E310"/>
    <mergeCell ref="D280:E280"/>
    <mergeCell ref="D283:E283"/>
    <mergeCell ref="D284:E284"/>
    <mergeCell ref="D285:E285"/>
    <mergeCell ref="D301:E301"/>
    <mergeCell ref="D339:E339"/>
    <mergeCell ref="D340:E340"/>
    <mergeCell ref="D341:E341"/>
    <mergeCell ref="D342:E342"/>
    <mergeCell ref="D343:E343"/>
    <mergeCell ref="D311:E311"/>
    <mergeCell ref="D312:E312"/>
    <mergeCell ref="D313:E313"/>
    <mergeCell ref="D336:E336"/>
    <mergeCell ref="D337:E337"/>
    <mergeCell ref="D353:E353"/>
    <mergeCell ref="D355:E355"/>
    <mergeCell ref="D358:E358"/>
    <mergeCell ref="D359:E359"/>
    <mergeCell ref="D360:E360"/>
    <mergeCell ref="D344:E344"/>
    <mergeCell ref="D345:E345"/>
    <mergeCell ref="D347:E347"/>
    <mergeCell ref="D348:E348"/>
    <mergeCell ref="D352:E352"/>
    <mergeCell ref="D368:E368"/>
    <mergeCell ref="D370:E370"/>
    <mergeCell ref="D372:E372"/>
    <mergeCell ref="D374:E374"/>
    <mergeCell ref="D376:E376"/>
    <mergeCell ref="D361:E361"/>
    <mergeCell ref="D362:E362"/>
    <mergeCell ref="D363:E363"/>
    <mergeCell ref="D365:E365"/>
    <mergeCell ref="D366:E366"/>
    <mergeCell ref="D385:E385"/>
    <mergeCell ref="D386:E386"/>
    <mergeCell ref="D387:E387"/>
    <mergeCell ref="D388:E388"/>
    <mergeCell ref="D389:E389"/>
    <mergeCell ref="D378:E378"/>
    <mergeCell ref="D381:E381"/>
    <mergeCell ref="D382:E382"/>
    <mergeCell ref="D383:E383"/>
    <mergeCell ref="D384:E384"/>
    <mergeCell ref="D395:E395"/>
    <mergeCell ref="D396:E396"/>
    <mergeCell ref="J397:K397"/>
    <mergeCell ref="A399:P399"/>
    <mergeCell ref="D390:E390"/>
    <mergeCell ref="D391:E391"/>
    <mergeCell ref="D392:E392"/>
    <mergeCell ref="D393:E393"/>
    <mergeCell ref="D394:E394"/>
  </mergeCells>
  <pageMargins left="0.393999993801117" right="0.393999993801117" top="0.59100002050399802" bottom="0.59100002050399802" header="0" footer="0"/>
  <pageSetup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5"/>
  <sheetViews>
    <sheetView workbookViewId="0">
      <selection activeCell="A45" sqref="A45:E45"/>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147" t="s">
        <v>403</v>
      </c>
      <c r="B1" s="148"/>
      <c r="C1" s="148"/>
      <c r="D1" s="148"/>
      <c r="E1" s="148"/>
      <c r="F1" s="148"/>
      <c r="G1" s="148"/>
      <c r="H1" s="148"/>
      <c r="I1" s="148"/>
    </row>
    <row r="2" spans="1:9" x14ac:dyDescent="0.25">
      <c r="A2" s="149" t="s">
        <v>0</v>
      </c>
      <c r="B2" s="150"/>
      <c r="C2" s="155" t="str">
        <f>'Stavební rozpočet'!D2</f>
        <v>"Stavební úpravy objektů čerpací stanice a myčky vozidel - SAKO Brno, a.s., Černovická 15"</v>
      </c>
      <c r="D2" s="156"/>
      <c r="E2" s="146" t="s">
        <v>4</v>
      </c>
      <c r="F2" s="146" t="str">
        <f>'Stavební rozpočet'!J2</f>
        <v>SAKO Brno, a.s., Jedovnická 4247/2, Židenice, 628</v>
      </c>
      <c r="G2" s="150"/>
      <c r="H2" s="146" t="s">
        <v>758</v>
      </c>
      <c r="I2" s="152" t="s">
        <v>759</v>
      </c>
    </row>
    <row r="3" spans="1:9" ht="25.5" customHeight="1" x14ac:dyDescent="0.25">
      <c r="A3" s="151"/>
      <c r="B3" s="107"/>
      <c r="C3" s="157"/>
      <c r="D3" s="157"/>
      <c r="E3" s="107"/>
      <c r="F3" s="107"/>
      <c r="G3" s="107"/>
      <c r="H3" s="107"/>
      <c r="I3" s="153"/>
    </row>
    <row r="4" spans="1:9" x14ac:dyDescent="0.25">
      <c r="A4" s="144" t="s">
        <v>6</v>
      </c>
      <c r="B4" s="107"/>
      <c r="C4" s="106" t="str">
        <f>'Stavební rozpočet'!D4</f>
        <v>D.2.1a ASŘ – Zastřešení myčky                                                                                              IO 231 Řešení zpevněných ploch SO05 - neveřejná účelová komunikace (chodníky, areálová komunikace, zatravněné plochy)</v>
      </c>
      <c r="D4" s="107"/>
      <c r="E4" s="106" t="s">
        <v>8</v>
      </c>
      <c r="F4" s="106" t="str">
        <f>'Stavební rozpočet'!J4</f>
        <v>GARANT projekt s.r.o.,</v>
      </c>
      <c r="G4" s="107"/>
      <c r="H4" s="106" t="s">
        <v>758</v>
      </c>
      <c r="I4" s="153" t="s">
        <v>760</v>
      </c>
    </row>
    <row r="5" spans="1:9" ht="15" customHeight="1" x14ac:dyDescent="0.25">
      <c r="A5" s="151"/>
      <c r="B5" s="107"/>
      <c r="C5" s="107"/>
      <c r="D5" s="107"/>
      <c r="E5" s="107"/>
      <c r="F5" s="107"/>
      <c r="G5" s="107"/>
      <c r="H5" s="107"/>
      <c r="I5" s="153"/>
    </row>
    <row r="6" spans="1:9" x14ac:dyDescent="0.25">
      <c r="A6" s="144" t="s">
        <v>10</v>
      </c>
      <c r="B6" s="107"/>
      <c r="C6" s="106" t="str">
        <f>'Stavební rozpočet'!D6</f>
        <v>SAKO Brno, Černovická 454/15, Komárov, 617 00 Brno Jih</v>
      </c>
      <c r="D6" s="107"/>
      <c r="E6" s="106" t="s">
        <v>13</v>
      </c>
      <c r="F6" s="106" t="str">
        <f>'Stavební rozpočet'!J6</f>
        <v>-</v>
      </c>
      <c r="G6" s="107"/>
      <c r="H6" s="106" t="s">
        <v>758</v>
      </c>
      <c r="I6" s="153" t="s">
        <v>54</v>
      </c>
    </row>
    <row r="7" spans="1:9" ht="15" customHeight="1" x14ac:dyDescent="0.25">
      <c r="A7" s="151"/>
      <c r="B7" s="107"/>
      <c r="C7" s="107"/>
      <c r="D7" s="107"/>
      <c r="E7" s="107"/>
      <c r="F7" s="107"/>
      <c r="G7" s="107"/>
      <c r="H7" s="107"/>
      <c r="I7" s="153"/>
    </row>
    <row r="8" spans="1:9" x14ac:dyDescent="0.25">
      <c r="A8" s="144" t="s">
        <v>7</v>
      </c>
      <c r="B8" s="107"/>
      <c r="C8" s="106">
        <f>'Stavební rozpočet'!H4</f>
        <v>0</v>
      </c>
      <c r="D8" s="107"/>
      <c r="E8" s="106" t="s">
        <v>12</v>
      </c>
      <c r="F8" s="106" t="str">
        <f>'Stavební rozpočet'!H6</f>
        <v xml:space="preserve"> </v>
      </c>
      <c r="G8" s="107"/>
      <c r="H8" s="107" t="s">
        <v>761</v>
      </c>
      <c r="I8" s="154">
        <v>122</v>
      </c>
    </row>
    <row r="9" spans="1:9" x14ac:dyDescent="0.25">
      <c r="A9" s="151"/>
      <c r="B9" s="107"/>
      <c r="C9" s="107"/>
      <c r="D9" s="107"/>
      <c r="E9" s="107"/>
      <c r="F9" s="107"/>
      <c r="G9" s="107"/>
      <c r="H9" s="107"/>
      <c r="I9" s="153"/>
    </row>
    <row r="10" spans="1:9" x14ac:dyDescent="0.25">
      <c r="A10" s="144" t="s">
        <v>15</v>
      </c>
      <c r="B10" s="107"/>
      <c r="C10" s="106" t="str">
        <f>'Stavební rozpočet'!D8</f>
        <v>8115171</v>
      </c>
      <c r="D10" s="107"/>
      <c r="E10" s="106" t="s">
        <v>19</v>
      </c>
      <c r="F10" s="106" t="str">
        <f>'Stavební rozpočet'!J8</f>
        <v>GARANT projekt s.r.o.,</v>
      </c>
      <c r="G10" s="107"/>
      <c r="H10" s="107" t="s">
        <v>762</v>
      </c>
      <c r="I10" s="138" t="str">
        <f>'Stavební rozpočet'!H8</f>
        <v>18.06.2024</v>
      </c>
    </row>
    <row r="11" spans="1:9" x14ac:dyDescent="0.25">
      <c r="A11" s="145"/>
      <c r="B11" s="143"/>
      <c r="C11" s="143"/>
      <c r="D11" s="143"/>
      <c r="E11" s="143"/>
      <c r="F11" s="143"/>
      <c r="G11" s="143"/>
      <c r="H11" s="143"/>
      <c r="I11" s="139"/>
    </row>
    <row r="13" spans="1:9" ht="15.75" x14ac:dyDescent="0.25">
      <c r="A13" s="198" t="s">
        <v>803</v>
      </c>
      <c r="B13" s="198"/>
      <c r="C13" s="198"/>
      <c r="D13" s="198"/>
      <c r="E13" s="198"/>
    </row>
    <row r="14" spans="1:9" x14ac:dyDescent="0.25">
      <c r="A14" s="199" t="s">
        <v>804</v>
      </c>
      <c r="B14" s="200"/>
      <c r="C14" s="200"/>
      <c r="D14" s="200"/>
      <c r="E14" s="201"/>
      <c r="F14" s="90" t="s">
        <v>805</v>
      </c>
      <c r="G14" s="90" t="s">
        <v>806</v>
      </c>
      <c r="H14" s="90" t="s">
        <v>807</v>
      </c>
      <c r="I14" s="90" t="s">
        <v>805</v>
      </c>
    </row>
    <row r="15" spans="1:9" x14ac:dyDescent="0.25">
      <c r="A15" s="183" t="s">
        <v>772</v>
      </c>
      <c r="B15" s="184"/>
      <c r="C15" s="184"/>
      <c r="D15" s="184"/>
      <c r="E15" s="185"/>
      <c r="F15" s="91">
        <v>0</v>
      </c>
      <c r="G15" s="92" t="s">
        <v>54</v>
      </c>
      <c r="H15" s="92" t="s">
        <v>54</v>
      </c>
      <c r="I15" s="91">
        <f>F15</f>
        <v>0</v>
      </c>
    </row>
    <row r="16" spans="1:9" x14ac:dyDescent="0.25">
      <c r="A16" s="183" t="s">
        <v>774</v>
      </c>
      <c r="B16" s="184"/>
      <c r="C16" s="184"/>
      <c r="D16" s="184"/>
      <c r="E16" s="185"/>
      <c r="F16" s="91">
        <v>0</v>
      </c>
      <c r="G16" s="92" t="s">
        <v>54</v>
      </c>
      <c r="H16" s="92" t="s">
        <v>54</v>
      </c>
      <c r="I16" s="91">
        <f>F16</f>
        <v>0</v>
      </c>
    </row>
    <row r="17" spans="1:9" x14ac:dyDescent="0.25">
      <c r="A17" s="186" t="s">
        <v>777</v>
      </c>
      <c r="B17" s="187"/>
      <c r="C17" s="187"/>
      <c r="D17" s="187"/>
      <c r="E17" s="188"/>
      <c r="F17" s="93">
        <v>0</v>
      </c>
      <c r="G17" s="94" t="s">
        <v>54</v>
      </c>
      <c r="H17" s="94" t="s">
        <v>54</v>
      </c>
      <c r="I17" s="93">
        <f>F17</f>
        <v>0</v>
      </c>
    </row>
    <row r="18" spans="1:9" x14ac:dyDescent="0.25">
      <c r="A18" s="189" t="s">
        <v>808</v>
      </c>
      <c r="B18" s="190"/>
      <c r="C18" s="190"/>
      <c r="D18" s="190"/>
      <c r="E18" s="191"/>
      <c r="F18" s="95" t="s">
        <v>54</v>
      </c>
      <c r="G18" s="96" t="s">
        <v>54</v>
      </c>
      <c r="H18" s="96" t="s">
        <v>54</v>
      </c>
      <c r="I18" s="97">
        <f>SUM(I15:I17)</f>
        <v>0</v>
      </c>
    </row>
    <row r="20" spans="1:9" x14ac:dyDescent="0.25">
      <c r="A20" s="199" t="s">
        <v>769</v>
      </c>
      <c r="B20" s="200"/>
      <c r="C20" s="200"/>
      <c r="D20" s="200"/>
      <c r="E20" s="201"/>
      <c r="F20" s="90" t="s">
        <v>805</v>
      </c>
      <c r="G20" s="90" t="s">
        <v>806</v>
      </c>
      <c r="H20" s="90" t="s">
        <v>807</v>
      </c>
      <c r="I20" s="90" t="s">
        <v>805</v>
      </c>
    </row>
    <row r="21" spans="1:9" x14ac:dyDescent="0.25">
      <c r="A21" s="183" t="s">
        <v>773</v>
      </c>
      <c r="B21" s="184"/>
      <c r="C21" s="184"/>
      <c r="D21" s="184"/>
      <c r="E21" s="185"/>
      <c r="F21" s="91">
        <v>0</v>
      </c>
      <c r="G21" s="92" t="s">
        <v>54</v>
      </c>
      <c r="H21" s="92" t="s">
        <v>54</v>
      </c>
      <c r="I21" s="91">
        <f t="shared" ref="I21:I26" si="0">F21</f>
        <v>0</v>
      </c>
    </row>
    <row r="22" spans="1:9" x14ac:dyDescent="0.25">
      <c r="A22" s="183" t="s">
        <v>775</v>
      </c>
      <c r="B22" s="184"/>
      <c r="C22" s="184"/>
      <c r="D22" s="184"/>
      <c r="E22" s="185"/>
      <c r="F22" s="91">
        <v>0</v>
      </c>
      <c r="G22" s="92" t="s">
        <v>54</v>
      </c>
      <c r="H22" s="92" t="s">
        <v>54</v>
      </c>
      <c r="I22" s="91">
        <f t="shared" si="0"/>
        <v>0</v>
      </c>
    </row>
    <row r="23" spans="1:9" x14ac:dyDescent="0.25">
      <c r="A23" s="183" t="s">
        <v>778</v>
      </c>
      <c r="B23" s="184"/>
      <c r="C23" s="184"/>
      <c r="D23" s="184"/>
      <c r="E23" s="185"/>
      <c r="F23" s="91">
        <v>0</v>
      </c>
      <c r="G23" s="92" t="s">
        <v>54</v>
      </c>
      <c r="H23" s="92" t="s">
        <v>54</v>
      </c>
      <c r="I23" s="91">
        <f t="shared" si="0"/>
        <v>0</v>
      </c>
    </row>
    <row r="24" spans="1:9" x14ac:dyDescent="0.25">
      <c r="A24" s="183" t="s">
        <v>779</v>
      </c>
      <c r="B24" s="184"/>
      <c r="C24" s="184"/>
      <c r="D24" s="184"/>
      <c r="E24" s="185"/>
      <c r="F24" s="91">
        <v>0</v>
      </c>
      <c r="G24" s="92" t="s">
        <v>54</v>
      </c>
      <c r="H24" s="92" t="s">
        <v>54</v>
      </c>
      <c r="I24" s="91">
        <f t="shared" si="0"/>
        <v>0</v>
      </c>
    </row>
    <row r="25" spans="1:9" x14ac:dyDescent="0.25">
      <c r="A25" s="183" t="s">
        <v>781</v>
      </c>
      <c r="B25" s="184"/>
      <c r="C25" s="184"/>
      <c r="D25" s="184"/>
      <c r="E25" s="185"/>
      <c r="F25" s="91">
        <v>0</v>
      </c>
      <c r="G25" s="92" t="s">
        <v>54</v>
      </c>
      <c r="H25" s="92" t="s">
        <v>54</v>
      </c>
      <c r="I25" s="91">
        <f t="shared" si="0"/>
        <v>0</v>
      </c>
    </row>
    <row r="26" spans="1:9" x14ac:dyDescent="0.25">
      <c r="A26" s="186" t="s">
        <v>782</v>
      </c>
      <c r="B26" s="187"/>
      <c r="C26" s="187"/>
      <c r="D26" s="187"/>
      <c r="E26" s="188"/>
      <c r="F26" s="93">
        <v>0</v>
      </c>
      <c r="G26" s="94" t="s">
        <v>54</v>
      </c>
      <c r="H26" s="94" t="s">
        <v>54</v>
      </c>
      <c r="I26" s="93">
        <f t="shared" si="0"/>
        <v>0</v>
      </c>
    </row>
    <row r="27" spans="1:9" x14ac:dyDescent="0.25">
      <c r="A27" s="189" t="s">
        <v>809</v>
      </c>
      <c r="B27" s="190"/>
      <c r="C27" s="190"/>
      <c r="D27" s="190"/>
      <c r="E27" s="191"/>
      <c r="F27" s="95" t="s">
        <v>54</v>
      </c>
      <c r="G27" s="96" t="s">
        <v>54</v>
      </c>
      <c r="H27" s="96" t="s">
        <v>54</v>
      </c>
      <c r="I27" s="97">
        <f>SUM(I21:I26)</f>
        <v>0</v>
      </c>
    </row>
    <row r="29" spans="1:9" ht="15.75" x14ac:dyDescent="0.25">
      <c r="A29" s="192" t="s">
        <v>810</v>
      </c>
      <c r="B29" s="193"/>
      <c r="C29" s="193"/>
      <c r="D29" s="193"/>
      <c r="E29" s="194"/>
      <c r="F29" s="195">
        <f>I18+I27</f>
        <v>0</v>
      </c>
      <c r="G29" s="196"/>
      <c r="H29" s="196"/>
      <c r="I29" s="197"/>
    </row>
    <row r="33" spans="1:9" ht="15.75" x14ac:dyDescent="0.25">
      <c r="A33" s="198" t="s">
        <v>811</v>
      </c>
      <c r="B33" s="198"/>
      <c r="C33" s="198"/>
      <c r="D33" s="198"/>
      <c r="E33" s="198"/>
    </row>
    <row r="34" spans="1:9" x14ac:dyDescent="0.25">
      <c r="A34" s="199" t="s">
        <v>812</v>
      </c>
      <c r="B34" s="200"/>
      <c r="C34" s="200"/>
      <c r="D34" s="200"/>
      <c r="E34" s="201"/>
      <c r="F34" s="90" t="s">
        <v>805</v>
      </c>
      <c r="G34" s="90" t="s">
        <v>806</v>
      </c>
      <c r="H34" s="90" t="s">
        <v>807</v>
      </c>
      <c r="I34" s="90" t="s">
        <v>805</v>
      </c>
    </row>
    <row r="35" spans="1:9" x14ac:dyDescent="0.25">
      <c r="A35" s="183" t="s">
        <v>813</v>
      </c>
      <c r="B35" s="184"/>
      <c r="C35" s="184"/>
      <c r="D35" s="184"/>
      <c r="E35" s="185"/>
      <c r="F35" s="91">
        <f>SUM('Stavební rozpočet'!BM12:BM396)</f>
        <v>0</v>
      </c>
      <c r="G35" s="92" t="s">
        <v>54</v>
      </c>
      <c r="H35" s="92" t="s">
        <v>54</v>
      </c>
      <c r="I35" s="91">
        <f t="shared" ref="I35:I44" si="1">F35</f>
        <v>0</v>
      </c>
    </row>
    <row r="36" spans="1:9" x14ac:dyDescent="0.25">
      <c r="A36" s="183" t="s">
        <v>814</v>
      </c>
      <c r="B36" s="184"/>
      <c r="C36" s="184"/>
      <c r="D36" s="184"/>
      <c r="E36" s="185"/>
      <c r="F36" s="91">
        <f>SUM('Stavební rozpočet'!BN12:BN396)</f>
        <v>0</v>
      </c>
      <c r="G36" s="92" t="s">
        <v>54</v>
      </c>
      <c r="H36" s="92" t="s">
        <v>54</v>
      </c>
      <c r="I36" s="91">
        <f t="shared" si="1"/>
        <v>0</v>
      </c>
    </row>
    <row r="37" spans="1:9" x14ac:dyDescent="0.25">
      <c r="A37" s="183" t="s">
        <v>773</v>
      </c>
      <c r="B37" s="184"/>
      <c r="C37" s="184"/>
      <c r="D37" s="184"/>
      <c r="E37" s="185"/>
      <c r="F37" s="91">
        <f>SUM('Stavební rozpočet'!BO12:BO396)</f>
        <v>0</v>
      </c>
      <c r="G37" s="92" t="s">
        <v>54</v>
      </c>
      <c r="H37" s="92" t="s">
        <v>54</v>
      </c>
      <c r="I37" s="91">
        <f t="shared" si="1"/>
        <v>0</v>
      </c>
    </row>
    <row r="38" spans="1:9" x14ac:dyDescent="0.25">
      <c r="A38" s="183" t="s">
        <v>405</v>
      </c>
      <c r="B38" s="184"/>
      <c r="C38" s="184"/>
      <c r="D38" s="184"/>
      <c r="E38" s="185"/>
      <c r="F38" s="91">
        <f>SUM('Stavební rozpočet'!BP12:BP396)</f>
        <v>0</v>
      </c>
      <c r="G38" s="92" t="s">
        <v>54</v>
      </c>
      <c r="H38" s="92" t="s">
        <v>54</v>
      </c>
      <c r="I38" s="91">
        <f t="shared" si="1"/>
        <v>0</v>
      </c>
    </row>
    <row r="39" spans="1:9" x14ac:dyDescent="0.25">
      <c r="A39" s="183" t="s">
        <v>815</v>
      </c>
      <c r="B39" s="184"/>
      <c r="C39" s="184"/>
      <c r="D39" s="184"/>
      <c r="E39" s="185"/>
      <c r="F39" s="91">
        <f>SUM('Stavební rozpočet'!BQ12:BQ396)</f>
        <v>0</v>
      </c>
      <c r="G39" s="92" t="s">
        <v>54</v>
      </c>
      <c r="H39" s="92" t="s">
        <v>54</v>
      </c>
      <c r="I39" s="91">
        <f t="shared" si="1"/>
        <v>0</v>
      </c>
    </row>
    <row r="40" spans="1:9" x14ac:dyDescent="0.25">
      <c r="A40" s="183" t="s">
        <v>778</v>
      </c>
      <c r="B40" s="184"/>
      <c r="C40" s="184"/>
      <c r="D40" s="184"/>
      <c r="E40" s="185"/>
      <c r="F40" s="91">
        <f>SUM('Stavební rozpočet'!BR12:BR396)</f>
        <v>0</v>
      </c>
      <c r="G40" s="92" t="s">
        <v>54</v>
      </c>
      <c r="H40" s="92" t="s">
        <v>54</v>
      </c>
      <c r="I40" s="91">
        <f t="shared" si="1"/>
        <v>0</v>
      </c>
    </row>
    <row r="41" spans="1:9" x14ac:dyDescent="0.25">
      <c r="A41" s="183" t="s">
        <v>779</v>
      </c>
      <c r="B41" s="184"/>
      <c r="C41" s="184"/>
      <c r="D41" s="184"/>
      <c r="E41" s="185"/>
      <c r="F41" s="91">
        <f>SUM('Stavební rozpočet'!BS12:BS396)</f>
        <v>0</v>
      </c>
      <c r="G41" s="92" t="s">
        <v>54</v>
      </c>
      <c r="H41" s="92" t="s">
        <v>54</v>
      </c>
      <c r="I41" s="91">
        <f t="shared" si="1"/>
        <v>0</v>
      </c>
    </row>
    <row r="42" spans="1:9" x14ac:dyDescent="0.25">
      <c r="A42" s="183" t="s">
        <v>816</v>
      </c>
      <c r="B42" s="184"/>
      <c r="C42" s="184"/>
      <c r="D42" s="184"/>
      <c r="E42" s="185"/>
      <c r="F42" s="91">
        <f>SUM('Stavební rozpočet'!BT12:BT396)</f>
        <v>0</v>
      </c>
      <c r="G42" s="92" t="s">
        <v>54</v>
      </c>
      <c r="H42" s="92" t="s">
        <v>54</v>
      </c>
      <c r="I42" s="91">
        <f t="shared" si="1"/>
        <v>0</v>
      </c>
    </row>
    <row r="43" spans="1:9" x14ac:dyDescent="0.25">
      <c r="A43" s="183" t="s">
        <v>817</v>
      </c>
      <c r="B43" s="184"/>
      <c r="C43" s="184"/>
      <c r="D43" s="184"/>
      <c r="E43" s="185"/>
      <c r="F43" s="91">
        <f>SUM('Stavební rozpočet'!BU12:BU396)</f>
        <v>0</v>
      </c>
      <c r="G43" s="92" t="s">
        <v>54</v>
      </c>
      <c r="H43" s="92" t="s">
        <v>54</v>
      </c>
      <c r="I43" s="91">
        <f t="shared" si="1"/>
        <v>0</v>
      </c>
    </row>
    <row r="44" spans="1:9" x14ac:dyDescent="0.25">
      <c r="A44" s="186" t="s">
        <v>818</v>
      </c>
      <c r="B44" s="187"/>
      <c r="C44" s="187"/>
      <c r="D44" s="187"/>
      <c r="E44" s="188"/>
      <c r="F44" s="93">
        <f>SUM('Stavební rozpočet'!BV12:BV396)</f>
        <v>0</v>
      </c>
      <c r="G44" s="94" t="s">
        <v>54</v>
      </c>
      <c r="H44" s="94" t="s">
        <v>54</v>
      </c>
      <c r="I44" s="93">
        <f t="shared" si="1"/>
        <v>0</v>
      </c>
    </row>
    <row r="45" spans="1:9" x14ac:dyDescent="0.25">
      <c r="A45" s="189" t="s">
        <v>819</v>
      </c>
      <c r="B45" s="190"/>
      <c r="C45" s="190"/>
      <c r="D45" s="190"/>
      <c r="E45" s="191"/>
      <c r="F45" s="95" t="s">
        <v>54</v>
      </c>
      <c r="G45" s="96" t="s">
        <v>54</v>
      </c>
      <c r="H45" s="96" t="s">
        <v>54</v>
      </c>
      <c r="I45" s="97">
        <f>SUM(I35:I44)</f>
        <v>0</v>
      </c>
    </row>
  </sheetData>
  <mergeCells count="60">
    <mergeCell ref="A1:I1"/>
    <mergeCell ref="A2:B3"/>
    <mergeCell ref="A4:B5"/>
    <mergeCell ref="A6:B7"/>
    <mergeCell ref="A8:B9"/>
    <mergeCell ref="H2:H3"/>
    <mergeCell ref="H4:H5"/>
    <mergeCell ref="H6:H7"/>
    <mergeCell ref="H8:H9"/>
    <mergeCell ref="I2:I3"/>
    <mergeCell ref="I4:I5"/>
    <mergeCell ref="I6:I7"/>
    <mergeCell ref="I8:I9"/>
    <mergeCell ref="E2:E3"/>
    <mergeCell ref="E4:E5"/>
    <mergeCell ref="E6:E7"/>
    <mergeCell ref="E8:E9"/>
    <mergeCell ref="E10:E11"/>
    <mergeCell ref="F2:G3"/>
    <mergeCell ref="F4:G5"/>
    <mergeCell ref="F6:G7"/>
    <mergeCell ref="F8:G9"/>
    <mergeCell ref="F10:G11"/>
    <mergeCell ref="C2:D3"/>
    <mergeCell ref="C4:D5"/>
    <mergeCell ref="C6:D7"/>
    <mergeCell ref="C8:D9"/>
    <mergeCell ref="C10:D11"/>
    <mergeCell ref="I10:I11"/>
    <mergeCell ref="A13:E13"/>
    <mergeCell ref="A14:E14"/>
    <mergeCell ref="A15:E15"/>
    <mergeCell ref="A16:E16"/>
    <mergeCell ref="H10:H11"/>
    <mergeCell ref="A10:B11"/>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 ref="A37:E37"/>
    <mergeCell ref="A38:E38"/>
    <mergeCell ref="A39:E39"/>
    <mergeCell ref="A40:E40"/>
    <mergeCell ref="A41:E41"/>
    <mergeCell ref="A42:E42"/>
    <mergeCell ref="A43:E43"/>
    <mergeCell ref="A44:E44"/>
    <mergeCell ref="A45:E45"/>
  </mergeCells>
  <pageMargins left="0.393999993801117" right="0.393999993801117" top="0.59100002050399802" bottom="0.59100002050399802" header="0" footer="0"/>
  <pageSetup fitToHeight="0"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Krycí list rozpočtu</vt:lpstr>
      <vt:lpstr>Stavební rozpočet - součet</vt:lpstr>
      <vt:lpstr>Stavební rozpočet</vt:lpstr>
      <vt:lpstr>VORN</vt:lpstr>
      <vt:lpstr>vorn_sum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Stan S</cp:lastModifiedBy>
  <cp:lastPrinted>2025-06-03T18:19:44Z</cp:lastPrinted>
  <dcterms:created xsi:type="dcterms:W3CDTF">2021-06-10T20:06:38Z</dcterms:created>
  <dcterms:modified xsi:type="dcterms:W3CDTF">2025-06-05T17:30:32Z</dcterms:modified>
</cp:coreProperties>
</file>